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60" yWindow="0" windowWidth="17730" windowHeight="9540" activeTab="0"/>
  </bookViews>
  <sheets>
    <sheet name="Master Sheet" sheetId="1" r:id="rId1"/>
    <sheet name="Sheet3" sheetId="2" state="hidden" r:id="rId2"/>
    <sheet name="Single DCF" sheetId="3" state="hidden" r:id="rId3"/>
    <sheet name="DCF" sheetId="4" state="hidden" r:id="rId4"/>
    <sheet name="Balloon Payment" sheetId="5" state="hidden" r:id="rId5"/>
    <sheet name="Sheet1" sheetId="6" r:id="rId6"/>
    <sheet name="Compatibility Report" sheetId="7" r:id="rId7"/>
  </sheets>
  <externalReferences>
    <externalReference r:id="rId10"/>
  </externalReferences>
  <definedNames>
    <definedName name="MPCalc1">'[1]Internals'!$D$4</definedName>
    <definedName name="MPCalc10">'[1]Internals'!$D$13</definedName>
    <definedName name="MPCalc11">'[1]Internals'!$D$14</definedName>
    <definedName name="MPCalc12">'[1]Internals'!$D$15</definedName>
    <definedName name="MPCalc2">'[1]Internals'!$D$5</definedName>
    <definedName name="MPCalc3">'[1]Internals'!$D$6</definedName>
    <definedName name="MPCalc4">'[1]Internals'!$D$7</definedName>
    <definedName name="MPCalc5">'[1]Internals'!$D$8</definedName>
    <definedName name="MPCalc6">'[1]Internals'!$D$9</definedName>
    <definedName name="MPCalc7">'[1]Internals'!$D$10</definedName>
    <definedName name="MPCalc8">'[1]Internals'!$D$11</definedName>
    <definedName name="MPCalc9">'[1]Internals'!$D$12</definedName>
  </definedNames>
  <calcPr fullCalcOnLoad="1"/>
</workbook>
</file>

<file path=xl/sharedStrings.xml><?xml version="1.0" encoding="utf-8"?>
<sst xmlns="http://schemas.openxmlformats.org/spreadsheetml/2006/main" count="178" uniqueCount="145">
  <si>
    <t>RATE OF RETURN AFTER 5 YEARS</t>
  </si>
  <si>
    <t>D1</t>
  </si>
  <si>
    <t>D2</t>
  </si>
  <si>
    <t>D3</t>
  </si>
  <si>
    <t>D4</t>
  </si>
  <si>
    <t>D5</t>
  </si>
  <si>
    <t>Cash Flow (before Tax)</t>
  </si>
  <si>
    <t>Ineternal Rate of Return</t>
  </si>
  <si>
    <t>Tax Savings/(Liability)</t>
  </si>
  <si>
    <t>Miscellaneous</t>
  </si>
  <si>
    <t>**Only Yellow numbers should be replaced in top section of the Analyzer.  Yellow block should be filled in below as well.</t>
  </si>
  <si>
    <t>Water, Sewer, Electricity,Garbage</t>
  </si>
  <si>
    <t>Repairs and Maintenance</t>
  </si>
  <si>
    <t>Legal</t>
  </si>
  <si>
    <t>Cleaning</t>
  </si>
  <si>
    <t>Discounted Cash Flow</t>
  </si>
  <si>
    <t>Periodic Rate</t>
  </si>
  <si>
    <t>GROSS OPERATING INCOME</t>
  </si>
  <si>
    <t>Net Income Multiplier</t>
  </si>
  <si>
    <t xml:space="preserve"> </t>
  </si>
  <si>
    <t>Market Cap Rate</t>
  </si>
  <si>
    <t>Present Market Value</t>
  </si>
  <si>
    <t>Gross Scheduled Income/Net Rents</t>
  </si>
  <si>
    <t>TOTAL NPV</t>
  </si>
  <si>
    <t>PROFITABILITY INDEX</t>
  </si>
  <si>
    <t>DCF OVER 5 YEARS</t>
  </si>
  <si>
    <t>DCF</t>
  </si>
  <si>
    <t>Operating Expense Ratio</t>
  </si>
  <si>
    <t>Debt Coverage Ratio</t>
  </si>
  <si>
    <t>Break Even Ratio</t>
  </si>
  <si>
    <t>Basis</t>
  </si>
  <si>
    <t>Adjusted Basis</t>
  </si>
  <si>
    <t>PV of Future Cash Flow</t>
  </si>
  <si>
    <t>No. of Periods</t>
  </si>
  <si>
    <t>Sales Price</t>
  </si>
  <si>
    <t>Future Sales Price</t>
  </si>
  <si>
    <t>DCF Year 1</t>
  </si>
  <si>
    <t>DCF Year 2</t>
  </si>
  <si>
    <t>DCF Year 3</t>
  </si>
  <si>
    <t>DCF Year 4</t>
  </si>
  <si>
    <t>DCF Year 5</t>
  </si>
  <si>
    <t>Single DCF</t>
  </si>
  <si>
    <t>Capital Gains tax due</t>
  </si>
  <si>
    <t>Cash Flow (fter tax)</t>
  </si>
  <si>
    <t>PURCHASE ANALYSIS</t>
  </si>
  <si>
    <t>Property Address:</t>
  </si>
  <si>
    <t>Date</t>
  </si>
  <si>
    <t>INPUTS</t>
  </si>
  <si>
    <t>Cap Rate</t>
  </si>
  <si>
    <t>Payments Left</t>
  </si>
  <si>
    <t>Yr1-2</t>
  </si>
  <si>
    <t>Yr2-3</t>
  </si>
  <si>
    <t>Yr3-4</t>
  </si>
  <si>
    <t>Yr4-5</t>
  </si>
  <si>
    <t>Appreciation Schedule</t>
  </si>
  <si>
    <t>Purchase PV</t>
  </si>
  <si>
    <t>FINANCING ANALYSIS</t>
  </si>
  <si>
    <t>Internal Rate of Return</t>
  </si>
  <si>
    <t># of Units</t>
  </si>
  <si>
    <t>Total Square Footage</t>
  </si>
  <si>
    <t>COMPARITVE ANALYSIS</t>
  </si>
  <si>
    <t>Price Per Square Foot</t>
  </si>
  <si>
    <t>Price Per Unit</t>
  </si>
  <si>
    <t>Gross Rent Multiplier</t>
  </si>
  <si>
    <t>Vacanacies</t>
  </si>
  <si>
    <t>Vacancies</t>
  </si>
  <si>
    <t>Cash on Cash Return 1st Year</t>
  </si>
  <si>
    <t>Interest Rate (r )</t>
  </si>
  <si>
    <t>Leverage:</t>
  </si>
  <si>
    <t>Marginal Tax Bracket:</t>
  </si>
  <si>
    <t>Appreciation:</t>
  </si>
  <si>
    <t>Capital Gains Rate:</t>
  </si>
  <si>
    <t>Interest Rate:</t>
  </si>
  <si>
    <t>Value of the Land:</t>
  </si>
  <si>
    <t>Purchase Price</t>
  </si>
  <si>
    <t>Closing Costs</t>
  </si>
  <si>
    <t>Total Cost</t>
  </si>
  <si>
    <t>First Mortgage</t>
  </si>
  <si>
    <t>Second Mortgage</t>
  </si>
  <si>
    <t>Down Payment</t>
  </si>
  <si>
    <t>Year</t>
  </si>
  <si>
    <t>Closing Loan Balance</t>
  </si>
  <si>
    <t>Amortization</t>
  </si>
  <si>
    <t>Term in Months (n)</t>
  </si>
  <si>
    <t>Amount Borrowed (PV)</t>
  </si>
  <si>
    <t>Balloon Payment (FV)</t>
  </si>
  <si>
    <t>Monthly Payment (D)</t>
  </si>
  <si>
    <t>Total Pay Down</t>
  </si>
  <si>
    <t>FIRST YEAR OPERATING PROJECTION</t>
  </si>
  <si>
    <t>Income/Expense</t>
  </si>
  <si>
    <t>Based on</t>
  </si>
  <si>
    <t>Monthly</t>
  </si>
  <si>
    <t>Annual</t>
  </si>
  <si>
    <t>Advertising</t>
  </si>
  <si>
    <t>Contingency</t>
  </si>
  <si>
    <t>Insurance</t>
  </si>
  <si>
    <t>Property Management % of Gross Rents</t>
  </si>
  <si>
    <t>Property Taxes</t>
  </si>
  <si>
    <t>Water, Sewer, Garbage</t>
  </si>
  <si>
    <t>TOTAL OPERATING EXPENSE</t>
  </si>
  <si>
    <t>NET OPERATING INCOME</t>
  </si>
  <si>
    <t>Mortgage</t>
  </si>
  <si>
    <t>Cash Flow</t>
  </si>
  <si>
    <t>Depreciation (affects TI not CF)</t>
  </si>
  <si>
    <t>Taxable Income</t>
  </si>
  <si>
    <t>Tax Savings</t>
  </si>
  <si>
    <t>After Tax Cash Flow</t>
  </si>
  <si>
    <t>FIVE YEAR OPERATING PROJECTION:</t>
  </si>
  <si>
    <t>Escalator</t>
  </si>
  <si>
    <t>Year: 1</t>
  </si>
  <si>
    <t>Year: 2</t>
  </si>
  <si>
    <t>Year: 3</t>
  </si>
  <si>
    <t>Year: 4</t>
  </si>
  <si>
    <t>Year: 5</t>
  </si>
  <si>
    <t>Rent</t>
  </si>
  <si>
    <t>Cleaning and Maintenance</t>
  </si>
  <si>
    <t>Property Mgt.</t>
  </si>
  <si>
    <t>CASH FLOW</t>
  </si>
  <si>
    <t>Depreciation</t>
  </si>
  <si>
    <t>Pay Down on Mortgage</t>
  </si>
  <si>
    <t>TAXABLE INCOME</t>
  </si>
  <si>
    <t>AFTER TAX CASH FLOW</t>
  </si>
  <si>
    <t>SALES ANALYSIS AFTER 5 YEARS</t>
  </si>
  <si>
    <t>Appreciation</t>
  </si>
  <si>
    <t>Loan Balance End of 5 years</t>
  </si>
  <si>
    <t>Estimated Closing Costs</t>
  </si>
  <si>
    <t>Real Estate Commission</t>
  </si>
  <si>
    <t>Net Proceeds of Sale</t>
  </si>
  <si>
    <t>Actual Capital Gain</t>
  </si>
  <si>
    <t>Accumulated Depreciation</t>
  </si>
  <si>
    <t>Taxable Capital Gain</t>
  </si>
  <si>
    <t>Income Tax</t>
  </si>
  <si>
    <t>Return on Equity</t>
  </si>
  <si>
    <t>Tax Cost</t>
  </si>
  <si>
    <t xml:space="preserve">Mortgage Interest </t>
  </si>
  <si>
    <t>Compatibility Report for Deal Analyzer-30 brushwood-shirley.xls</t>
  </si>
  <si>
    <t>Run on 12/17/2016 17:11</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</si>
  <si>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</si>
  <si>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</si>
  <si>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</si>
  <si>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</si>
  <si>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formulas in this workbook are linked to other workbooks that are closed. When these formulas are recalculated in earlier versions of Excel without opening the linked workbooks, characters beyond the 255-character limit cannot be returned.</t>
  </si>
  <si>
    <t>Excel 97-2003</t>
  </si>
  <si>
    <t>12
Defined Names</t>
  </si>
  <si>
    <t>30 brushwood, shirley</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</si>
</sst>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0_);_(&quot;$&quot;* \(#,##0\);_(&quot;$&quot;* &quot;-&quot;??_);_(@_)"/>
    <numFmt numFmtId="173" formatCode="0.0%"/>
    <numFmt numFmtId="174" formatCode="0.000%"/>
    <numFmt numFmtId="175" formatCode="&quot;$&quot;#,##0"/>
    <numFmt numFmtId="176" formatCode="&quot;$&quot;#,##0.00"/>
    <numFmt numFmtId="177" formatCode="&quot;$&quot;#,##0.0"/>
    <numFmt numFmtId="178" formatCode="0.0000%"/>
    <numFmt numFmtId="179" formatCode="mmm\-yyyy"/>
    <numFmt numFmtId="180" formatCode="[$-409]dddd\,\ mmmm\ dd\,\ yyyy"/>
    <numFmt numFmtId="181" formatCode="[$-409]h:mm:ss\ AM/PM"/>
    <numFmt numFmtId="182" formatCode="0.0"/>
    <numFmt numFmtId="183" formatCode="_(* #,##0.0_);_(* \(#,##0.0\);_(* &quot;-&quot;??_);_(@_)"/>
    <numFmt numFmtId="184" formatCode="_(* #,##0_);_(* \(#,##0\);_(* &quot;-&quot;??_);_(@_)"/>
    <numFmt numFmtId="185" formatCode="_(&quot;$&quot;* #,##0.0_);_(&quot;$&quot;* \(#,##0.0\);_(&quot;$&quot;* &quot;-&quot;??_);_(@_)"/>
    <numFmt numFmtId="186" formatCode="_(* #,##0.000_);_(* \(#,##0.000\);_(* &quot;-&quot;??_);_(@_)"/>
    <numFmt numFmtId="187" formatCode="_(* #,##0.0000_);_(* \(#,##0.0000\);_(* &quot;-&quot;??_);_(@_)"/>
    <numFmt numFmtId="188" formatCode="0.000000"/>
    <numFmt numFmtId="189" formatCode="0.00000"/>
    <numFmt numFmtId="190" formatCode="0.0000"/>
    <numFmt numFmtId="191" formatCode="0.000"/>
    <numFmt numFmtId="192" formatCode="&quot;$&quot;#,##0.000"/>
    <numFmt numFmtId="193" formatCode="&quot;$&quot;#,##0.00;[Red]&quot;$&quot;#,##0.00"/>
    <numFmt numFmtId="194" formatCode="0.00000%"/>
    <numFmt numFmtId="195" formatCode="0.000000%"/>
    <numFmt numFmtId="196" formatCode="0.0000000%"/>
  </numFmts>
  <fonts count="54">
    <font>
      <sz val="10"/>
      <name val="Arial"/>
      <family val="0"/>
    </font>
    <font>
      <b/>
      <sz val="10"/>
      <name val="Arial"/>
      <family val="2"/>
    </font>
    <font>
      <i/>
      <sz val="10"/>
      <name val="Arial"/>
      <family val="2"/>
    </font>
    <font>
      <sz val="8"/>
      <name val="Arial"/>
      <family val="2"/>
    </font>
    <font>
      <b/>
      <sz val="10"/>
      <color indexed="9"/>
      <name val="Arial"/>
      <family val="2"/>
    </font>
    <font>
      <b/>
      <sz val="10"/>
      <color indexed="34"/>
      <name val="Arial"/>
      <family val="2"/>
    </font>
    <font>
      <b/>
      <sz val="8"/>
      <color indexed="9"/>
      <name val="Arial"/>
      <family val="2"/>
    </font>
    <font>
      <sz val="10"/>
      <color indexed="9"/>
      <name val="Arial"/>
      <family val="2"/>
    </font>
    <font>
      <b/>
      <sz val="12"/>
      <name val="Arial"/>
      <family val="2"/>
    </font>
    <font>
      <sz val="12"/>
      <name val="Arial"/>
      <family val="2"/>
    </font>
    <font>
      <sz val="15"/>
      <name val="Arial"/>
      <family val="2"/>
    </font>
    <font>
      <b/>
      <sz val="15"/>
      <name val="Arial"/>
      <family val="2"/>
    </font>
    <font>
      <b/>
      <sz val="15"/>
      <color indexed="9"/>
      <name val="Arial"/>
      <family val="2"/>
    </font>
    <font>
      <b/>
      <i/>
      <sz val="15"/>
      <color indexed="9"/>
      <name val="Arial"/>
      <family val="2"/>
    </font>
    <font>
      <i/>
      <sz val="15"/>
      <color indexed="9"/>
      <name val="Arial"/>
      <family val="2"/>
    </font>
    <font>
      <b/>
      <sz val="12"/>
      <color indexed="9"/>
      <name val="Arial"/>
      <family val="2"/>
    </font>
    <font>
      <sz val="12"/>
      <color indexed="9"/>
      <name val="Arial"/>
      <family val="2"/>
    </font>
    <font>
      <sz val="15"/>
      <color indexed="9"/>
      <name val="Arial"/>
      <family val="2"/>
    </font>
    <font>
      <sz val="8"/>
      <name val="Verdana"/>
      <family val="2"/>
    </font>
    <font>
      <b/>
      <sz val="10"/>
      <color indexed="53"/>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7"/>
        <bgColor indexed="64"/>
      </patternFill>
    </fill>
    <fill>
      <patternFill patternType="solid">
        <fgColor indexed="9"/>
        <bgColor indexed="64"/>
      </patternFill>
    </fill>
    <fill>
      <patternFill patternType="solid">
        <fgColor indexed="26"/>
        <bgColor indexed="64"/>
      </patternFill>
    </fill>
    <fill>
      <patternFill patternType="solid">
        <fgColor indexed="34"/>
        <bgColor indexed="64"/>
      </patternFill>
    </fill>
    <fill>
      <patternFill patternType="solid">
        <fgColor indexed="53"/>
        <bgColor indexed="64"/>
      </patternFill>
    </fill>
    <fill>
      <patternFill patternType="solid">
        <fgColor indexed="8"/>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style="medium"/>
    </border>
    <border>
      <left>
        <color indexed="63"/>
      </left>
      <right style="thin"/>
      <top style="thin"/>
      <bottom>
        <color indexed="63"/>
      </botto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color indexed="63"/>
      </left>
      <right style="thin"/>
      <top>
        <color indexed="63"/>
      </top>
      <bottom style="mediu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05">
    <xf numFmtId="0" fontId="0" fillId="0" borderId="0" xfId="0" applyAlignment="1">
      <alignment/>
    </xf>
    <xf numFmtId="0" fontId="0" fillId="0" borderId="0" xfId="0" applyBorder="1" applyAlignment="1">
      <alignment/>
    </xf>
    <xf numFmtId="0" fontId="4" fillId="33" borderId="10" xfId="0" applyFont="1" applyFill="1" applyBorder="1" applyAlignment="1">
      <alignment/>
    </xf>
    <xf numFmtId="9" fontId="5" fillId="33" borderId="10" xfId="57" applyFont="1" applyFill="1" applyBorder="1" applyAlignment="1">
      <alignment/>
    </xf>
    <xf numFmtId="10" fontId="5" fillId="33" borderId="10" xfId="57" applyNumberFormat="1" applyFont="1" applyFill="1" applyBorder="1" applyAlignment="1">
      <alignment/>
    </xf>
    <xf numFmtId="0" fontId="4" fillId="33" borderId="11" xfId="0" applyFont="1" applyFill="1" applyBorder="1" applyAlignment="1">
      <alignment/>
    </xf>
    <xf numFmtId="0" fontId="4" fillId="33" borderId="12" xfId="0" applyFont="1" applyFill="1" applyBorder="1" applyAlignment="1">
      <alignment/>
    </xf>
    <xf numFmtId="0" fontId="0" fillId="33" borderId="12" xfId="0" applyFill="1" applyBorder="1" applyAlignment="1">
      <alignment/>
    </xf>
    <xf numFmtId="9" fontId="4" fillId="33" borderId="13" xfId="57" applyFont="1" applyFill="1" applyBorder="1" applyAlignment="1">
      <alignment/>
    </xf>
    <xf numFmtId="0" fontId="0" fillId="33" borderId="14" xfId="0" applyFill="1" applyBorder="1" applyAlignment="1">
      <alignment/>
    </xf>
    <xf numFmtId="0" fontId="0" fillId="33" borderId="13" xfId="0" applyFill="1" applyBorder="1" applyAlignment="1">
      <alignment/>
    </xf>
    <xf numFmtId="0" fontId="1" fillId="0" borderId="10" xfId="0" applyFont="1" applyBorder="1" applyAlignment="1">
      <alignment/>
    </xf>
    <xf numFmtId="0" fontId="0" fillId="0" borderId="10" xfId="0" applyBorder="1" applyAlignment="1">
      <alignment/>
    </xf>
    <xf numFmtId="8" fontId="0" fillId="0" borderId="10" xfId="0" applyNumberFormat="1" applyBorder="1" applyAlignment="1">
      <alignment/>
    </xf>
    <xf numFmtId="43" fontId="0" fillId="0" borderId="10" xfId="0" applyNumberFormat="1" applyBorder="1" applyAlignment="1">
      <alignment/>
    </xf>
    <xf numFmtId="0" fontId="0" fillId="0" borderId="15" xfId="0" applyBorder="1" applyAlignment="1">
      <alignment/>
    </xf>
    <xf numFmtId="172" fontId="0" fillId="0" borderId="15" xfId="44" applyNumberFormat="1" applyFont="1" applyBorder="1" applyAlignment="1">
      <alignment/>
    </xf>
    <xf numFmtId="8" fontId="0" fillId="0" borderId="15" xfId="0" applyNumberForma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8" fontId="0" fillId="0" borderId="21" xfId="0" applyNumberFormat="1" applyBorder="1" applyAlignment="1">
      <alignment/>
    </xf>
    <xf numFmtId="43" fontId="0" fillId="0" borderId="21" xfId="0" applyNumberFormat="1" applyBorder="1" applyAlignment="1">
      <alignment/>
    </xf>
    <xf numFmtId="0" fontId="0" fillId="0" borderId="10" xfId="0" applyFont="1" applyBorder="1" applyAlignment="1">
      <alignment/>
    </xf>
    <xf numFmtId="43" fontId="0" fillId="0" borderId="10" xfId="0" applyNumberFormat="1" applyFont="1" applyBorder="1" applyAlignment="1">
      <alignment/>
    </xf>
    <xf numFmtId="175" fontId="4" fillId="33" borderId="12" xfId="0" applyNumberFormat="1" applyFont="1" applyFill="1" applyBorder="1" applyAlignment="1">
      <alignment/>
    </xf>
    <xf numFmtId="175" fontId="5" fillId="33" borderId="12" xfId="0" applyNumberFormat="1" applyFont="1" applyFill="1" applyBorder="1" applyAlignment="1">
      <alignment/>
    </xf>
    <xf numFmtId="0" fontId="5" fillId="33" borderId="10" xfId="0" applyFont="1" applyFill="1" applyBorder="1" applyAlignment="1">
      <alignment/>
    </xf>
    <xf numFmtId="1" fontId="5" fillId="33" borderId="13" xfId="57" applyNumberFormat="1" applyFont="1" applyFill="1" applyBorder="1" applyAlignment="1">
      <alignment/>
    </xf>
    <xf numFmtId="0" fontId="6" fillId="33" borderId="16" xfId="0" applyFont="1" applyFill="1" applyBorder="1" applyAlignment="1">
      <alignment horizontal="left" vertical="center" wrapText="1"/>
    </xf>
    <xf numFmtId="0" fontId="6" fillId="33" borderId="0" xfId="0" applyFont="1" applyFill="1" applyBorder="1" applyAlignment="1">
      <alignment horizontal="left" vertical="center" wrapText="1"/>
    </xf>
    <xf numFmtId="0" fontId="6" fillId="33" borderId="17" xfId="0" applyFont="1" applyFill="1" applyBorder="1" applyAlignment="1">
      <alignment horizontal="left" vertical="center" wrapText="1"/>
    </xf>
    <xf numFmtId="0" fontId="6" fillId="33" borderId="18" xfId="0" applyFont="1" applyFill="1" applyBorder="1" applyAlignment="1">
      <alignment horizontal="left" vertical="center" wrapText="1"/>
    </xf>
    <xf numFmtId="0" fontId="6" fillId="33" borderId="19" xfId="0" applyFont="1" applyFill="1" applyBorder="1" applyAlignment="1">
      <alignment horizontal="left" vertical="center" wrapText="1"/>
    </xf>
    <xf numFmtId="0" fontId="6" fillId="33" borderId="20" xfId="0" applyFont="1" applyFill="1" applyBorder="1" applyAlignment="1">
      <alignment horizontal="left" vertical="center" wrapText="1"/>
    </xf>
    <xf numFmtId="0" fontId="0" fillId="33" borderId="16" xfId="0" applyFill="1" applyBorder="1" applyAlignment="1">
      <alignment horizontal="left" vertical="center" wrapText="1"/>
    </xf>
    <xf numFmtId="0" fontId="0" fillId="33" borderId="0" xfId="0" applyFill="1" applyBorder="1" applyAlignment="1">
      <alignment horizontal="left" vertical="center" wrapText="1"/>
    </xf>
    <xf numFmtId="0" fontId="0" fillId="33" borderId="22" xfId="0" applyFill="1" applyBorder="1" applyAlignment="1">
      <alignment horizontal="left" vertical="center" wrapText="1"/>
    </xf>
    <xf numFmtId="0" fontId="0" fillId="33" borderId="14" xfId="0" applyFill="1" applyBorder="1" applyAlignment="1">
      <alignment horizontal="left" vertical="center" wrapText="1"/>
    </xf>
    <xf numFmtId="0" fontId="2" fillId="0" borderId="10" xfId="0" applyFont="1" applyBorder="1" applyAlignment="1">
      <alignment/>
    </xf>
    <xf numFmtId="0" fontId="1" fillId="34" borderId="23" xfId="0" applyFont="1" applyFill="1" applyBorder="1" applyAlignment="1">
      <alignment/>
    </xf>
    <xf numFmtId="0" fontId="1" fillId="34" borderId="24" xfId="0" applyFont="1" applyFill="1" applyBorder="1" applyAlignment="1">
      <alignment/>
    </xf>
    <xf numFmtId="0" fontId="1" fillId="34" borderId="25" xfId="0" applyFont="1" applyFill="1" applyBorder="1" applyAlignment="1">
      <alignment/>
    </xf>
    <xf numFmtId="10" fontId="1" fillId="34" borderId="26" xfId="57" applyNumberFormat="1" applyFont="1" applyFill="1" applyBorder="1" applyAlignment="1">
      <alignment/>
    </xf>
    <xf numFmtId="0" fontId="1" fillId="34" borderId="26" xfId="0" applyFont="1" applyFill="1" applyBorder="1" applyAlignment="1">
      <alignment/>
    </xf>
    <xf numFmtId="0" fontId="0" fillId="34" borderId="27" xfId="0" applyFill="1" applyBorder="1" applyAlignment="1">
      <alignment/>
    </xf>
    <xf numFmtId="0" fontId="2" fillId="34" borderId="27" xfId="0" applyFont="1" applyFill="1" applyBorder="1" applyAlignment="1">
      <alignment/>
    </xf>
    <xf numFmtId="0" fontId="1" fillId="34" borderId="28" xfId="0" applyFont="1" applyFill="1" applyBorder="1" applyAlignment="1">
      <alignment/>
    </xf>
    <xf numFmtId="9" fontId="0" fillId="0" borderId="10" xfId="0" applyNumberFormat="1" applyBorder="1" applyAlignment="1">
      <alignment/>
    </xf>
    <xf numFmtId="10" fontId="0" fillId="0" borderId="10" xfId="57" applyNumberFormat="1" applyFont="1" applyBorder="1" applyAlignment="1">
      <alignment/>
    </xf>
    <xf numFmtId="2" fontId="0" fillId="0" borderId="10" xfId="0" applyNumberFormat="1" applyBorder="1" applyAlignment="1">
      <alignment/>
    </xf>
    <xf numFmtId="0" fontId="0" fillId="0" borderId="12" xfId="0" applyBorder="1" applyAlignment="1">
      <alignment/>
    </xf>
    <xf numFmtId="0" fontId="0" fillId="0" borderId="21" xfId="0" applyBorder="1" applyAlignment="1">
      <alignment horizontal="left"/>
    </xf>
    <xf numFmtId="0" fontId="0" fillId="34" borderId="29" xfId="0" applyFill="1" applyBorder="1" applyAlignment="1">
      <alignment/>
    </xf>
    <xf numFmtId="0" fontId="1" fillId="34" borderId="10" xfId="0" applyFont="1" applyFill="1" applyBorder="1" applyAlignment="1">
      <alignment/>
    </xf>
    <xf numFmtId="0" fontId="0" fillId="34" borderId="10" xfId="0" applyFill="1" applyBorder="1" applyAlignment="1">
      <alignment/>
    </xf>
    <xf numFmtId="8" fontId="1" fillId="34" borderId="10" xfId="0" applyNumberFormat="1" applyFont="1" applyFill="1" applyBorder="1" applyAlignment="1">
      <alignment/>
    </xf>
    <xf numFmtId="0" fontId="0" fillId="34" borderId="30" xfId="0" applyFont="1" applyFill="1" applyBorder="1" applyAlignment="1">
      <alignment/>
    </xf>
    <xf numFmtId="0" fontId="0" fillId="34" borderId="31" xfId="0" applyFont="1" applyFill="1" applyBorder="1" applyAlignment="1">
      <alignment/>
    </xf>
    <xf numFmtId="0" fontId="0" fillId="34" borderId="32" xfId="0" applyFont="1" applyFill="1" applyBorder="1" applyAlignment="1">
      <alignment/>
    </xf>
    <xf numFmtId="0" fontId="0" fillId="35" borderId="11" xfId="0" applyFont="1" applyFill="1" applyBorder="1" applyAlignment="1">
      <alignment/>
    </xf>
    <xf numFmtId="172" fontId="0" fillId="35" borderId="21" xfId="0" applyNumberFormat="1" applyFill="1" applyBorder="1" applyAlignment="1">
      <alignment/>
    </xf>
    <xf numFmtId="172" fontId="0" fillId="0" borderId="10" xfId="0" applyNumberFormat="1" applyBorder="1" applyAlignment="1">
      <alignment/>
    </xf>
    <xf numFmtId="0" fontId="1" fillId="35" borderId="33" xfId="0" applyFont="1" applyFill="1" applyBorder="1" applyAlignment="1">
      <alignment/>
    </xf>
    <xf numFmtId="0" fontId="1" fillId="35" borderId="32" xfId="0" applyFont="1" applyFill="1" applyBorder="1" applyAlignment="1">
      <alignment/>
    </xf>
    <xf numFmtId="0" fontId="1" fillId="35" borderId="25" xfId="0" applyFont="1" applyFill="1" applyBorder="1" applyAlignment="1">
      <alignment/>
    </xf>
    <xf numFmtId="0" fontId="1" fillId="35" borderId="34" xfId="0" applyFont="1" applyFill="1" applyBorder="1" applyAlignment="1">
      <alignment/>
    </xf>
    <xf numFmtId="176" fontId="5" fillId="33" borderId="12" xfId="0" applyNumberFormat="1" applyFont="1" applyFill="1" applyBorder="1" applyAlignment="1">
      <alignment/>
    </xf>
    <xf numFmtId="0" fontId="0" fillId="0" borderId="10" xfId="0" applyFont="1" applyBorder="1" applyAlignment="1">
      <alignment/>
    </xf>
    <xf numFmtId="0" fontId="0" fillId="36" borderId="10" xfId="0" applyFill="1" applyBorder="1" applyAlignment="1">
      <alignment/>
    </xf>
    <xf numFmtId="0" fontId="0" fillId="0" borderId="0" xfId="0" applyAlignment="1">
      <alignment vertical="center"/>
    </xf>
    <xf numFmtId="43" fontId="0" fillId="0" borderId="10" xfId="42" applyFont="1" applyBorder="1" applyAlignment="1">
      <alignment/>
    </xf>
    <xf numFmtId="0" fontId="4" fillId="33" borderId="22" xfId="0" applyFont="1" applyFill="1" applyBorder="1" applyAlignment="1">
      <alignment/>
    </xf>
    <xf numFmtId="0" fontId="4" fillId="33" borderId="14" xfId="0" applyFont="1" applyFill="1" applyBorder="1" applyAlignment="1">
      <alignment/>
    </xf>
    <xf numFmtId="10" fontId="0" fillId="0" borderId="21" xfId="0" applyNumberFormat="1" applyBorder="1" applyAlignment="1">
      <alignment/>
    </xf>
    <xf numFmtId="9" fontId="4" fillId="33" borderId="15" xfId="0" applyNumberFormat="1" applyFont="1" applyFill="1" applyBorder="1" applyAlignment="1">
      <alignment/>
    </xf>
    <xf numFmtId="0" fontId="9" fillId="0" borderId="0" xfId="0" applyFont="1" applyAlignment="1">
      <alignment/>
    </xf>
    <xf numFmtId="0" fontId="9" fillId="0" borderId="17" xfId="0" applyFont="1" applyBorder="1" applyAlignment="1">
      <alignment/>
    </xf>
    <xf numFmtId="1" fontId="9" fillId="0" borderId="21" xfId="0" applyNumberFormat="1" applyFont="1" applyBorder="1" applyAlignment="1">
      <alignment/>
    </xf>
    <xf numFmtId="1" fontId="9" fillId="0" borderId="10" xfId="0" applyNumberFormat="1" applyFont="1" applyBorder="1" applyAlignment="1">
      <alignment/>
    </xf>
    <xf numFmtId="176" fontId="9" fillId="0" borderId="10" xfId="0" applyNumberFormat="1" applyFont="1" applyBorder="1" applyAlignment="1">
      <alignment/>
    </xf>
    <xf numFmtId="0" fontId="9" fillId="0" borderId="35" xfId="0" applyFont="1" applyBorder="1" applyAlignment="1">
      <alignment/>
    </xf>
    <xf numFmtId="1" fontId="9" fillId="0" borderId="15" xfId="0" applyNumberFormat="1" applyFont="1" applyBorder="1" applyAlignment="1">
      <alignment/>
    </xf>
    <xf numFmtId="43" fontId="0" fillId="0" borderId="10" xfId="0" applyNumberFormat="1" applyBorder="1" applyAlignment="1">
      <alignment/>
    </xf>
    <xf numFmtId="0" fontId="0" fillId="34" borderId="10" xfId="0" applyFont="1" applyFill="1" applyBorder="1" applyAlignment="1">
      <alignment/>
    </xf>
    <xf numFmtId="8" fontId="0" fillId="0" borderId="0" xfId="0" applyNumberFormat="1" applyAlignment="1">
      <alignment/>
    </xf>
    <xf numFmtId="0" fontId="10" fillId="33" borderId="0" xfId="0" applyFont="1" applyFill="1" applyBorder="1" applyAlignment="1">
      <alignment/>
    </xf>
    <xf numFmtId="0" fontId="11" fillId="33" borderId="0" xfId="0" applyFont="1" applyFill="1" applyBorder="1" applyAlignment="1">
      <alignment/>
    </xf>
    <xf numFmtId="0" fontId="12" fillId="33" borderId="12" xfId="0" applyFont="1" applyFill="1" applyBorder="1" applyAlignment="1">
      <alignment/>
    </xf>
    <xf numFmtId="0" fontId="12" fillId="33" borderId="15" xfId="0" applyFont="1" applyFill="1" applyBorder="1" applyAlignment="1">
      <alignment/>
    </xf>
    <xf numFmtId="10" fontId="10" fillId="36" borderId="10" xfId="0" applyNumberFormat="1" applyFont="1" applyFill="1" applyBorder="1" applyAlignment="1">
      <alignment/>
    </xf>
    <xf numFmtId="0" fontId="10" fillId="34" borderId="10" xfId="0" applyFont="1" applyFill="1" applyBorder="1" applyAlignment="1">
      <alignment/>
    </xf>
    <xf numFmtId="0" fontId="10" fillId="0" borderId="0" xfId="0" applyFont="1" applyAlignment="1">
      <alignment/>
    </xf>
    <xf numFmtId="43" fontId="10" fillId="0" borderId="10" xfId="42" applyFont="1" applyBorder="1" applyAlignment="1">
      <alignment/>
    </xf>
    <xf numFmtId="43" fontId="10" fillId="36" borderId="10" xfId="42" applyFont="1" applyFill="1" applyBorder="1" applyAlignment="1">
      <alignment/>
    </xf>
    <xf numFmtId="184" fontId="10" fillId="0" borderId="10" xfId="42" applyNumberFormat="1" applyFont="1" applyBorder="1" applyAlignment="1">
      <alignment/>
    </xf>
    <xf numFmtId="0" fontId="13" fillId="33" borderId="10" xfId="0" applyFont="1" applyFill="1" applyBorder="1" applyAlignment="1">
      <alignment/>
    </xf>
    <xf numFmtId="0" fontId="14" fillId="33" borderId="10" xfId="0" applyFont="1" applyFill="1" applyBorder="1" applyAlignment="1">
      <alignment/>
    </xf>
    <xf numFmtId="175" fontId="13" fillId="33" borderId="10" xfId="0" applyNumberFormat="1" applyFont="1" applyFill="1" applyBorder="1" applyAlignment="1">
      <alignment/>
    </xf>
    <xf numFmtId="2" fontId="13" fillId="33" borderId="10" xfId="0" applyNumberFormat="1" applyFont="1" applyFill="1" applyBorder="1" applyAlignment="1">
      <alignment/>
    </xf>
    <xf numFmtId="0" fontId="15" fillId="33" borderId="28" xfId="0" applyFont="1" applyFill="1" applyBorder="1" applyAlignment="1">
      <alignment/>
    </xf>
    <xf numFmtId="0" fontId="16" fillId="33" borderId="27" xfId="0" applyFont="1" applyFill="1" applyBorder="1" applyAlignment="1">
      <alignment/>
    </xf>
    <xf numFmtId="0" fontId="16" fillId="33" borderId="36" xfId="0" applyFont="1" applyFill="1" applyBorder="1" applyAlignment="1">
      <alignment/>
    </xf>
    <xf numFmtId="10" fontId="15" fillId="33" borderId="37" xfId="0" applyNumberFormat="1" applyFont="1" applyFill="1" applyBorder="1" applyAlignment="1">
      <alignment/>
    </xf>
    <xf numFmtId="0" fontId="15" fillId="33" borderId="37" xfId="0" applyFont="1" applyFill="1" applyBorder="1" applyAlignment="1">
      <alignment/>
    </xf>
    <xf numFmtId="0" fontId="15" fillId="33" borderId="38" xfId="0" applyFont="1" applyFill="1" applyBorder="1" applyAlignment="1">
      <alignment/>
    </xf>
    <xf numFmtId="0" fontId="15" fillId="33" borderId="39" xfId="0" applyFont="1" applyFill="1" applyBorder="1" applyAlignment="1">
      <alignment/>
    </xf>
    <xf numFmtId="0" fontId="15" fillId="33" borderId="16" xfId="0" applyFont="1" applyFill="1" applyBorder="1" applyAlignment="1">
      <alignment/>
    </xf>
    <xf numFmtId="0" fontId="15" fillId="33" borderId="0" xfId="0" applyFont="1" applyFill="1" applyBorder="1" applyAlignment="1">
      <alignment/>
    </xf>
    <xf numFmtId="0" fontId="15" fillId="33" borderId="17" xfId="0" applyFont="1" applyFill="1" applyBorder="1" applyAlignment="1">
      <alignment/>
    </xf>
    <xf numFmtId="0" fontId="15" fillId="33" borderId="18" xfId="0" applyFont="1" applyFill="1" applyBorder="1" applyAlignment="1">
      <alignment/>
    </xf>
    <xf numFmtId="0" fontId="15" fillId="33" borderId="19" xfId="0" applyFont="1" applyFill="1" applyBorder="1" applyAlignment="1">
      <alignment/>
    </xf>
    <xf numFmtId="0" fontId="15" fillId="33" borderId="20" xfId="0" applyFont="1" applyFill="1" applyBorder="1" applyAlignment="1">
      <alignment/>
    </xf>
    <xf numFmtId="0" fontId="0" fillId="36" borderId="20" xfId="0" applyFill="1" applyBorder="1" applyAlignment="1">
      <alignment/>
    </xf>
    <xf numFmtId="0" fontId="17" fillId="33" borderId="10" xfId="0" applyFont="1" applyFill="1" applyBorder="1" applyAlignment="1">
      <alignment/>
    </xf>
    <xf numFmtId="0" fontId="9" fillId="33" borderId="0" xfId="0" applyFont="1" applyFill="1" applyBorder="1" applyAlignment="1">
      <alignment/>
    </xf>
    <xf numFmtId="0" fontId="16" fillId="33" borderId="0" xfId="0" applyFont="1" applyFill="1" applyBorder="1" applyAlignment="1">
      <alignment/>
    </xf>
    <xf numFmtId="0" fontId="8" fillId="33" borderId="0" xfId="0" applyFont="1" applyFill="1" applyBorder="1" applyAlignment="1">
      <alignment/>
    </xf>
    <xf numFmtId="0" fontId="15" fillId="33" borderId="12" xfId="0" applyFont="1" applyFill="1" applyBorder="1" applyAlignment="1">
      <alignment/>
    </xf>
    <xf numFmtId="0" fontId="15" fillId="33" borderId="15" xfId="0" applyFont="1" applyFill="1" applyBorder="1" applyAlignment="1">
      <alignment/>
    </xf>
    <xf numFmtId="10" fontId="9" fillId="36" borderId="10" xfId="0" applyNumberFormat="1" applyFont="1" applyFill="1" applyBorder="1" applyAlignment="1">
      <alignment/>
    </xf>
    <xf numFmtId="1" fontId="9" fillId="36" borderId="10" xfId="0" applyNumberFormat="1" applyFont="1" applyFill="1" applyBorder="1" applyAlignment="1">
      <alignment/>
    </xf>
    <xf numFmtId="0" fontId="15" fillId="33" borderId="10" xfId="0" applyFont="1" applyFill="1" applyBorder="1" applyAlignment="1">
      <alignment/>
    </xf>
    <xf numFmtId="8" fontId="9" fillId="36" borderId="10" xfId="42" applyNumberFormat="1" applyFont="1" applyFill="1" applyBorder="1" applyAlignment="1">
      <alignment/>
    </xf>
    <xf numFmtId="8" fontId="8" fillId="0" borderId="10" xfId="42" applyNumberFormat="1" applyFont="1" applyBorder="1" applyAlignment="1">
      <alignment/>
    </xf>
    <xf numFmtId="9" fontId="5" fillId="33" borderId="13" xfId="57" applyFont="1" applyFill="1" applyBorder="1" applyAlignment="1">
      <alignment/>
    </xf>
    <xf numFmtId="173" fontId="0" fillId="36" borderId="10" xfId="57" applyNumberFormat="1" applyFont="1" applyFill="1" applyBorder="1" applyAlignment="1">
      <alignment/>
    </xf>
    <xf numFmtId="9" fontId="0" fillId="36" borderId="10" xfId="0" applyNumberFormat="1" applyFill="1" applyBorder="1" applyAlignment="1">
      <alignment/>
    </xf>
    <xf numFmtId="173" fontId="0" fillId="36" borderId="10" xfId="0" applyNumberFormat="1" applyFill="1" applyBorder="1" applyAlignment="1">
      <alignment/>
    </xf>
    <xf numFmtId="9" fontId="0" fillId="36" borderId="10" xfId="57" applyFont="1" applyFill="1" applyBorder="1" applyAlignment="1">
      <alignment/>
    </xf>
    <xf numFmtId="0" fontId="8" fillId="34" borderId="21" xfId="0" applyFont="1" applyFill="1" applyBorder="1" applyAlignment="1">
      <alignment/>
    </xf>
    <xf numFmtId="8" fontId="8" fillId="34" borderId="11" xfId="0" applyNumberFormat="1" applyFont="1" applyFill="1" applyBorder="1" applyAlignment="1">
      <alignment/>
    </xf>
    <xf numFmtId="175" fontId="8" fillId="34" borderId="10" xfId="0" applyNumberFormat="1" applyFont="1" applyFill="1" applyBorder="1" applyAlignment="1">
      <alignment/>
    </xf>
    <xf numFmtId="2" fontId="0" fillId="36" borderId="10" xfId="0" applyNumberFormat="1" applyFill="1" applyBorder="1" applyAlignment="1">
      <alignment/>
    </xf>
    <xf numFmtId="0" fontId="19" fillId="33" borderId="10" xfId="0" applyFont="1" applyFill="1" applyBorder="1" applyAlignment="1">
      <alignment/>
    </xf>
    <xf numFmtId="0" fontId="19" fillId="33" borderId="12" xfId="0" applyFont="1" applyFill="1" applyBorder="1" applyAlignment="1">
      <alignment/>
    </xf>
    <xf numFmtId="1" fontId="19" fillId="33" borderId="12" xfId="0" applyNumberFormat="1" applyFont="1" applyFill="1" applyBorder="1" applyAlignment="1">
      <alignment/>
    </xf>
    <xf numFmtId="184" fontId="19" fillId="33" borderId="12" xfId="42" applyNumberFormat="1" applyFont="1" applyFill="1" applyBorder="1" applyAlignment="1">
      <alignment/>
    </xf>
    <xf numFmtId="2" fontId="19" fillId="33" borderId="12" xfId="0" applyNumberFormat="1" applyFont="1" applyFill="1" applyBorder="1" applyAlignment="1">
      <alignment/>
    </xf>
    <xf numFmtId="184" fontId="19" fillId="33" borderId="10" xfId="42" applyNumberFormat="1" applyFont="1" applyFill="1" applyBorder="1" applyAlignment="1">
      <alignment/>
    </xf>
    <xf numFmtId="8" fontId="1" fillId="37" borderId="10" xfId="0" applyNumberFormat="1" applyFont="1" applyFill="1" applyBorder="1" applyAlignment="1">
      <alignment/>
    </xf>
    <xf numFmtId="10" fontId="1" fillId="37" borderId="10" xfId="0" applyNumberFormat="1" applyFont="1" applyFill="1" applyBorder="1" applyAlignment="1">
      <alignment/>
    </xf>
    <xf numFmtId="2" fontId="0" fillId="37" borderId="10" xfId="0" applyNumberFormat="1" applyFill="1" applyBorder="1" applyAlignment="1">
      <alignment/>
    </xf>
    <xf numFmtId="43" fontId="0" fillId="37" borderId="10" xfId="0" applyNumberFormat="1" applyFill="1" applyBorder="1" applyAlignment="1">
      <alignment/>
    </xf>
    <xf numFmtId="173" fontId="5" fillId="33" borderId="10" xfId="0" applyNumberFormat="1" applyFont="1" applyFill="1" applyBorder="1" applyAlignment="1">
      <alignment/>
    </xf>
    <xf numFmtId="193" fontId="0" fillId="0" borderId="10" xfId="0" applyNumberFormat="1" applyBorder="1" applyAlignment="1">
      <alignment/>
    </xf>
    <xf numFmtId="173" fontId="4" fillId="33" borderId="10" xfId="57" applyNumberFormat="1" applyFont="1" applyFill="1" applyBorder="1" applyAlignment="1">
      <alignment/>
    </xf>
    <xf numFmtId="9" fontId="0" fillId="0" borderId="10" xfId="57" applyFont="1" applyBorder="1" applyAlignment="1">
      <alignment/>
    </xf>
    <xf numFmtId="0" fontId="1" fillId="0" borderId="0" xfId="0" applyNumberFormat="1" applyFont="1" applyAlignment="1">
      <alignment vertical="top" wrapText="1"/>
    </xf>
    <xf numFmtId="0" fontId="0" fillId="0" borderId="0" xfId="0" applyNumberFormat="1" applyAlignment="1">
      <alignment vertical="top" wrapText="1"/>
    </xf>
    <xf numFmtId="0" fontId="0" fillId="0" borderId="40" xfId="0" applyNumberFormat="1" applyBorder="1" applyAlignment="1">
      <alignment vertical="top" wrapText="1"/>
    </xf>
    <xf numFmtId="0" fontId="0" fillId="0" borderId="41" xfId="0" applyNumberFormat="1" applyBorder="1" applyAlignment="1">
      <alignment vertical="top" wrapText="1"/>
    </xf>
    <xf numFmtId="0" fontId="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41" xfId="0" applyNumberFormat="1" applyBorder="1" applyAlignment="1">
      <alignment horizontal="center" vertical="top" wrapText="1"/>
    </xf>
    <xf numFmtId="0" fontId="0" fillId="0" borderId="42" xfId="0" applyNumberFormat="1" applyBorder="1" applyAlignment="1">
      <alignment horizontal="center" vertical="top" wrapText="1"/>
    </xf>
    <xf numFmtId="173" fontId="1" fillId="0" borderId="10" xfId="57" applyNumberFormat="1" applyFont="1" applyBorder="1" applyAlignment="1">
      <alignment/>
    </xf>
    <xf numFmtId="44" fontId="1" fillId="34" borderId="10" xfId="44" applyFont="1" applyFill="1" applyBorder="1" applyAlignment="1">
      <alignment/>
    </xf>
    <xf numFmtId="44" fontId="0" fillId="34" borderId="10" xfId="44" applyFont="1" applyFill="1" applyBorder="1" applyAlignment="1">
      <alignment/>
    </xf>
    <xf numFmtId="44" fontId="0" fillId="36" borderId="10" xfId="44" applyFont="1" applyFill="1" applyBorder="1" applyAlignment="1">
      <alignment/>
    </xf>
    <xf numFmtId="44" fontId="0" fillId="36" borderId="10" xfId="44" applyFont="1" applyFill="1" applyBorder="1" applyAlignment="1">
      <alignment/>
    </xf>
    <xf numFmtId="44" fontId="0" fillId="34" borderId="10" xfId="44" applyFont="1" applyFill="1" applyBorder="1" applyAlignment="1">
      <alignment/>
    </xf>
    <xf numFmtId="44" fontId="0" fillId="0" borderId="10" xfId="44" applyFont="1" applyBorder="1" applyAlignment="1">
      <alignment/>
    </xf>
    <xf numFmtId="44" fontId="0" fillId="0" borderId="21" xfId="44" applyFont="1" applyBorder="1" applyAlignment="1">
      <alignment/>
    </xf>
    <xf numFmtId="44" fontId="0" fillId="0" borderId="21" xfId="44" applyFont="1" applyBorder="1" applyAlignment="1">
      <alignment/>
    </xf>
    <xf numFmtId="44" fontId="1" fillId="36" borderId="10" xfId="44" applyFont="1" applyFill="1" applyBorder="1" applyAlignment="1">
      <alignment/>
    </xf>
    <xf numFmtId="44" fontId="0" fillId="0" borderId="10" xfId="44" applyFont="1" applyBorder="1" applyAlignment="1">
      <alignment/>
    </xf>
    <xf numFmtId="44" fontId="0" fillId="0" borderId="10" xfId="44" applyFont="1" applyBorder="1" applyAlignment="1">
      <alignment/>
    </xf>
    <xf numFmtId="173" fontId="19" fillId="33" borderId="14" xfId="0" applyNumberFormat="1" applyFont="1" applyFill="1" applyBorder="1" applyAlignment="1">
      <alignment/>
    </xf>
    <xf numFmtId="173" fontId="19" fillId="33" borderId="12" xfId="57" applyNumberFormat="1" applyFont="1" applyFill="1" applyBorder="1" applyAlignment="1">
      <alignment/>
    </xf>
    <xf numFmtId="173" fontId="0" fillId="0" borderId="10" xfId="57" applyNumberFormat="1" applyFont="1" applyFill="1" applyBorder="1" applyAlignment="1">
      <alignment/>
    </xf>
    <xf numFmtId="0" fontId="0" fillId="0" borderId="43" xfId="0" applyFont="1" applyBorder="1" applyAlignment="1">
      <alignment horizontal="left"/>
    </xf>
    <xf numFmtId="0" fontId="0" fillId="0" borderId="44" xfId="0" applyFont="1" applyBorder="1" applyAlignment="1">
      <alignment horizontal="left"/>
    </xf>
    <xf numFmtId="0" fontId="0" fillId="0" borderId="45" xfId="0" applyFont="1" applyBorder="1" applyAlignment="1">
      <alignment horizontal="left"/>
    </xf>
    <xf numFmtId="0" fontId="6" fillId="33" borderId="16" xfId="0" applyFont="1" applyFill="1" applyBorder="1" applyAlignment="1">
      <alignment horizontal="left" vertical="center" wrapText="1"/>
    </xf>
    <xf numFmtId="0" fontId="6" fillId="33" borderId="0" xfId="0" applyFont="1" applyFill="1" applyBorder="1" applyAlignment="1">
      <alignment horizontal="left" vertical="center" wrapText="1"/>
    </xf>
    <xf numFmtId="0" fontId="4" fillId="38" borderId="0" xfId="0" applyFont="1" applyFill="1" applyAlignment="1">
      <alignment horizontal="center"/>
    </xf>
    <xf numFmtId="0" fontId="4" fillId="38" borderId="12" xfId="0" applyFont="1" applyFill="1" applyBorder="1" applyAlignment="1">
      <alignment horizontal="center"/>
    </xf>
    <xf numFmtId="0" fontId="4" fillId="38" borderId="13" xfId="0" applyFont="1" applyFill="1" applyBorder="1" applyAlignment="1">
      <alignment horizontal="center"/>
    </xf>
    <xf numFmtId="0" fontId="4" fillId="38" borderId="15" xfId="0" applyFont="1" applyFill="1" applyBorder="1" applyAlignment="1">
      <alignment horizontal="center"/>
    </xf>
    <xf numFmtId="0" fontId="4" fillId="33" borderId="12" xfId="0" applyFont="1" applyFill="1" applyBorder="1" applyAlignment="1">
      <alignment horizontal="center"/>
    </xf>
    <xf numFmtId="0" fontId="4" fillId="33" borderId="13" xfId="0" applyFont="1" applyFill="1" applyBorder="1" applyAlignment="1">
      <alignment horizontal="center"/>
    </xf>
    <xf numFmtId="0" fontId="4" fillId="33" borderId="15" xfId="0" applyFont="1" applyFill="1" applyBorder="1" applyAlignment="1">
      <alignment horizontal="center"/>
    </xf>
    <xf numFmtId="14" fontId="4" fillId="33" borderId="12" xfId="0" applyNumberFormat="1" applyFont="1" applyFill="1" applyBorder="1" applyAlignment="1">
      <alignment horizontal="center"/>
    </xf>
    <xf numFmtId="14" fontId="4" fillId="33" borderId="13" xfId="0" applyNumberFormat="1" applyFont="1" applyFill="1" applyBorder="1" applyAlignment="1">
      <alignment horizontal="center"/>
    </xf>
    <xf numFmtId="14" fontId="4" fillId="33" borderId="15" xfId="0" applyNumberFormat="1" applyFont="1" applyFill="1" applyBorder="1" applyAlignment="1">
      <alignment horizontal="center"/>
    </xf>
    <xf numFmtId="0" fontId="4" fillId="38" borderId="14" xfId="0" applyFont="1" applyFill="1" applyBorder="1" applyAlignment="1">
      <alignment horizontal="center"/>
    </xf>
    <xf numFmtId="0" fontId="4" fillId="38" borderId="35" xfId="0" applyFont="1" applyFill="1" applyBorder="1" applyAlignment="1">
      <alignment horizontal="center"/>
    </xf>
    <xf numFmtId="0" fontId="4" fillId="38" borderId="22" xfId="0" applyFont="1" applyFill="1" applyBorder="1" applyAlignment="1">
      <alignment horizontal="center"/>
    </xf>
    <xf numFmtId="0" fontId="7" fillId="38" borderId="0" xfId="0" applyFont="1" applyFill="1" applyBorder="1" applyAlignment="1">
      <alignment horizontal="center"/>
    </xf>
    <xf numFmtId="43" fontId="0" fillId="0" borderId="10" xfId="0" applyNumberFormat="1" applyBorder="1" applyAlignment="1">
      <alignment/>
    </xf>
    <xf numFmtId="0" fontId="1" fillId="35" borderId="30" xfId="0" applyFont="1" applyFill="1" applyBorder="1" applyAlignment="1">
      <alignment horizontal="left" vertical="center"/>
    </xf>
    <xf numFmtId="0" fontId="1" fillId="35" borderId="31" xfId="0" applyFont="1" applyFill="1" applyBorder="1" applyAlignment="1">
      <alignment horizontal="left" vertical="center"/>
    </xf>
    <xf numFmtId="0" fontId="1" fillId="35" borderId="33" xfId="0" applyFont="1" applyFill="1" applyBorder="1" applyAlignment="1">
      <alignment horizontal="left" vertical="center"/>
    </xf>
    <xf numFmtId="0" fontId="1" fillId="35" borderId="23" xfId="0" applyFont="1" applyFill="1" applyBorder="1" applyAlignment="1">
      <alignment horizontal="left" vertical="center"/>
    </xf>
    <xf numFmtId="0" fontId="1" fillId="35" borderId="24" xfId="0" applyFont="1" applyFill="1" applyBorder="1" applyAlignment="1">
      <alignment horizontal="left" vertical="center"/>
    </xf>
    <xf numFmtId="0" fontId="1" fillId="35" borderId="25" xfId="0" applyFont="1" applyFill="1" applyBorder="1" applyAlignment="1">
      <alignment horizontal="left" vertical="center"/>
    </xf>
    <xf numFmtId="43" fontId="0" fillId="0" borderId="10" xfId="42" applyFont="1" applyBorder="1" applyAlignment="1">
      <alignment/>
    </xf>
    <xf numFmtId="43" fontId="0" fillId="0" borderId="12" xfId="0" applyNumberFormat="1" applyBorder="1" applyAlignment="1">
      <alignment horizontal="center"/>
    </xf>
    <xf numFmtId="43" fontId="0" fillId="0" borderId="15" xfId="0" applyNumberFormat="1" applyBorder="1" applyAlignment="1">
      <alignment horizontal="center"/>
    </xf>
    <xf numFmtId="0" fontId="15" fillId="33" borderId="0" xfId="0" applyFont="1" applyFill="1" applyBorder="1" applyAlignment="1">
      <alignment horizontal="center" vertical="center"/>
    </xf>
    <xf numFmtId="0" fontId="12" fillId="33" borderId="0"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dcalculator_free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lcome"/>
      <sheetName val="Quick Start"/>
      <sheetName val="Monthly Payment"/>
      <sheetName val="Internals"/>
      <sheetName val="Amortization Schedule"/>
      <sheetName val="Loan Comparison"/>
      <sheetName val="Future Values"/>
      <sheetName val="Disclaimer"/>
      <sheetName val="calcs"/>
    </sheetNames>
    <sheetDataSet>
      <sheetData sheetId="3">
        <row r="4">
          <cell r="D4" t="b">
            <v>0</v>
          </cell>
        </row>
        <row r="5">
          <cell r="D5" t="b">
            <v>0</v>
          </cell>
        </row>
        <row r="6">
          <cell r="D6" t="b">
            <v>0</v>
          </cell>
        </row>
        <row r="7">
          <cell r="D7" t="b">
            <v>0</v>
          </cell>
        </row>
        <row r="8">
          <cell r="D8" t="b">
            <v>0</v>
          </cell>
        </row>
        <row r="9">
          <cell r="D9" t="b">
            <v>0</v>
          </cell>
        </row>
        <row r="10">
          <cell r="D10" t="b">
            <v>0</v>
          </cell>
        </row>
        <row r="11">
          <cell r="D11" t="b">
            <v>0</v>
          </cell>
        </row>
        <row r="12">
          <cell r="D12" t="b">
            <v>0</v>
          </cell>
        </row>
        <row r="13">
          <cell r="D13" t="b">
            <v>0</v>
          </cell>
        </row>
        <row r="14">
          <cell r="D14" t="b">
            <v>0</v>
          </cell>
        </row>
        <row r="15">
          <cell r="D15" t="b">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5"/>
  <sheetViews>
    <sheetView tabSelected="1" zoomScale="125" zoomScaleNormal="125" zoomScalePageLayoutView="0" workbookViewId="0" topLeftCell="A43">
      <selection activeCell="D56" sqref="D56"/>
    </sheetView>
  </sheetViews>
  <sheetFormatPr defaultColWidth="8.8515625" defaultRowHeight="12.75"/>
  <cols>
    <col min="1" max="1" width="35.00390625" style="0" customWidth="1"/>
    <col min="2" max="2" width="9.28125" style="0" customWidth="1"/>
    <col min="3" max="3" width="13.140625" style="0" bestFit="1" customWidth="1"/>
    <col min="4" max="4" width="14.28125" style="0" customWidth="1"/>
    <col min="5" max="5" width="14.00390625" style="0" bestFit="1" customWidth="1"/>
    <col min="6" max="6" width="15.8515625" style="0" customWidth="1"/>
    <col min="7" max="7" width="21.140625" style="0" bestFit="1" customWidth="1"/>
    <col min="8" max="8" width="15.421875" style="0" customWidth="1"/>
    <col min="9" max="9" width="9.8515625" style="0" customWidth="1"/>
    <col min="10" max="13" width="11.28125" style="0" bestFit="1" customWidth="1"/>
  </cols>
  <sheetData>
    <row r="1" spans="1:8" ht="12.75">
      <c r="A1" s="2" t="s">
        <v>45</v>
      </c>
      <c r="B1" s="183" t="s">
        <v>144</v>
      </c>
      <c r="C1" s="184"/>
      <c r="D1" s="184"/>
      <c r="E1" s="184"/>
      <c r="F1" s="184"/>
      <c r="G1" s="184"/>
      <c r="H1" s="185"/>
    </row>
    <row r="2" spans="1:8" ht="12.75">
      <c r="A2" s="2" t="s">
        <v>46</v>
      </c>
      <c r="B2" s="186"/>
      <c r="C2" s="187"/>
      <c r="D2" s="187"/>
      <c r="E2" s="187"/>
      <c r="F2" s="187"/>
      <c r="G2" s="187"/>
      <c r="H2" s="188"/>
    </row>
    <row r="3" spans="1:8" ht="12.75">
      <c r="A3" s="180" t="s">
        <v>47</v>
      </c>
      <c r="B3" s="181"/>
      <c r="C3" s="181"/>
      <c r="D3" s="181"/>
      <c r="E3" s="181"/>
      <c r="F3" s="181"/>
      <c r="G3" s="189"/>
      <c r="H3" s="190"/>
    </row>
    <row r="4" spans="1:8" ht="12.75">
      <c r="A4" s="2" t="s">
        <v>68</v>
      </c>
      <c r="B4" s="3">
        <v>0</v>
      </c>
      <c r="C4" s="2"/>
      <c r="D4" s="2" t="s">
        <v>69</v>
      </c>
      <c r="E4" s="2"/>
      <c r="F4" s="7"/>
      <c r="G4" s="10"/>
      <c r="H4" s="8">
        <v>0.38</v>
      </c>
    </row>
    <row r="5" spans="1:8" ht="12.75">
      <c r="A5" s="2" t="s">
        <v>70</v>
      </c>
      <c r="B5" s="3">
        <v>0.05</v>
      </c>
      <c r="C5" s="2"/>
      <c r="D5" s="2" t="s">
        <v>71</v>
      </c>
      <c r="E5" s="2"/>
      <c r="F5" s="7"/>
      <c r="G5" s="10"/>
      <c r="H5" s="8">
        <v>0.38</v>
      </c>
    </row>
    <row r="6" spans="1:8" ht="12.75">
      <c r="A6" s="2" t="s">
        <v>72</v>
      </c>
      <c r="B6" s="4">
        <v>0</v>
      </c>
      <c r="C6" s="2"/>
      <c r="D6" s="2" t="s">
        <v>73</v>
      </c>
      <c r="E6" s="2"/>
      <c r="F6" s="7"/>
      <c r="G6" s="10"/>
      <c r="H6" s="128">
        <v>0.1</v>
      </c>
    </row>
    <row r="7" spans="1:8" ht="12.75">
      <c r="A7" s="2" t="s">
        <v>58</v>
      </c>
      <c r="B7" s="30">
        <v>1</v>
      </c>
      <c r="C7" s="2"/>
      <c r="D7" s="2" t="s">
        <v>59</v>
      </c>
      <c r="E7" s="2"/>
      <c r="F7" s="7"/>
      <c r="G7" s="10"/>
      <c r="H7" s="31">
        <v>1100</v>
      </c>
    </row>
    <row r="8" spans="1:8" ht="12.75">
      <c r="A8" s="2" t="s">
        <v>20</v>
      </c>
      <c r="B8" s="147">
        <v>0.1</v>
      </c>
      <c r="C8" s="2"/>
      <c r="D8" s="5" t="s">
        <v>66</v>
      </c>
      <c r="E8" s="5"/>
      <c r="F8" s="6"/>
      <c r="G8" s="9"/>
      <c r="H8" s="171">
        <f>H53/C21*100%</f>
        <v>0.10115308754362008</v>
      </c>
    </row>
    <row r="9" spans="1:8" ht="12.75">
      <c r="A9" s="2"/>
      <c r="B9" s="2"/>
      <c r="C9" s="6"/>
      <c r="D9" s="75"/>
      <c r="E9" s="76"/>
      <c r="F9" s="6"/>
      <c r="G9" s="10"/>
      <c r="H9" s="78"/>
    </row>
    <row r="10" spans="1:8" ht="12" customHeight="1">
      <c r="A10" s="137" t="s">
        <v>60</v>
      </c>
      <c r="B10" s="137"/>
      <c r="C10" s="138"/>
      <c r="D10" s="40"/>
      <c r="E10" s="41"/>
      <c r="F10" s="41"/>
      <c r="G10" s="41"/>
      <c r="H10" s="41"/>
    </row>
    <row r="11" spans="1:8" ht="17.25" customHeight="1">
      <c r="A11" s="137" t="s">
        <v>61</v>
      </c>
      <c r="B11" s="137"/>
      <c r="C11" s="139">
        <f>C19/H7</f>
        <v>118.18181818181819</v>
      </c>
      <c r="D11" s="38"/>
      <c r="E11" s="39"/>
      <c r="F11" s="39"/>
      <c r="G11" s="39"/>
      <c r="H11" s="39"/>
    </row>
    <row r="12" spans="1:8" ht="12.75">
      <c r="A12" s="137" t="s">
        <v>62</v>
      </c>
      <c r="B12" s="137"/>
      <c r="C12" s="140">
        <f>C19/B7</f>
        <v>130000</v>
      </c>
      <c r="D12" s="38"/>
      <c r="E12" s="39"/>
      <c r="F12" s="39"/>
      <c r="G12" s="39"/>
      <c r="H12" s="39"/>
    </row>
    <row r="13" spans="1:8" ht="12.75">
      <c r="A13" s="137" t="s">
        <v>63</v>
      </c>
      <c r="B13" s="137"/>
      <c r="C13" s="141">
        <f>C19/H38</f>
        <v>5.8558558558558556</v>
      </c>
      <c r="D13" s="38"/>
      <c r="E13" s="39"/>
      <c r="F13" s="39"/>
      <c r="G13" s="39"/>
      <c r="H13" s="39"/>
    </row>
    <row r="14" spans="1:8" ht="12.75" customHeight="1">
      <c r="A14" s="137" t="s">
        <v>18</v>
      </c>
      <c r="B14" s="137"/>
      <c r="C14" s="141">
        <f>(1/B8)</f>
        <v>10</v>
      </c>
      <c r="D14" s="32"/>
      <c r="E14" s="33"/>
      <c r="F14" s="33"/>
      <c r="G14" s="33"/>
      <c r="H14" s="33"/>
    </row>
    <row r="15" spans="1:8" ht="12.75" customHeight="1">
      <c r="A15" s="137" t="s">
        <v>48</v>
      </c>
      <c r="B15" s="137"/>
      <c r="C15" s="172">
        <f>H51/C19</f>
        <v>0.10256923076923077</v>
      </c>
      <c r="D15" s="32"/>
      <c r="E15" s="33"/>
      <c r="F15" s="33"/>
      <c r="G15" s="33"/>
      <c r="H15" s="34"/>
    </row>
    <row r="16" spans="1:8" ht="12.75" customHeight="1">
      <c r="A16" s="138" t="s">
        <v>21</v>
      </c>
      <c r="B16" s="137"/>
      <c r="C16" s="142">
        <f>C14*H51</f>
        <v>133340</v>
      </c>
      <c r="D16" s="32"/>
      <c r="E16" s="33"/>
      <c r="F16" s="33"/>
      <c r="G16" s="33"/>
      <c r="H16" s="33"/>
    </row>
    <row r="17" spans="1:8" ht="12.75" customHeight="1">
      <c r="A17" s="180"/>
      <c r="B17" s="181"/>
      <c r="C17" s="182"/>
      <c r="D17" s="32"/>
      <c r="E17" s="33"/>
      <c r="F17" s="33"/>
      <c r="G17" s="33"/>
      <c r="H17" s="33"/>
    </row>
    <row r="18" spans="1:8" ht="12.75">
      <c r="A18" s="2" t="s">
        <v>44</v>
      </c>
      <c r="B18" s="2"/>
      <c r="C18" s="6"/>
      <c r="D18" s="177" t="s">
        <v>10</v>
      </c>
      <c r="E18" s="178"/>
      <c r="F18" s="178"/>
      <c r="G18" s="178"/>
      <c r="H18" s="178"/>
    </row>
    <row r="19" spans="1:8" ht="12.75" customHeight="1">
      <c r="A19" s="2" t="s">
        <v>74</v>
      </c>
      <c r="B19" s="2"/>
      <c r="C19" s="29">
        <v>130000</v>
      </c>
      <c r="D19" s="177"/>
      <c r="E19" s="178"/>
      <c r="F19" s="178"/>
      <c r="G19" s="178"/>
      <c r="H19" s="178"/>
    </row>
    <row r="20" spans="1:8" ht="12.75" customHeight="1">
      <c r="A20" s="2" t="s">
        <v>75</v>
      </c>
      <c r="B20" s="149">
        <v>0.014</v>
      </c>
      <c r="C20" s="70">
        <f>0.014*C19</f>
        <v>1820</v>
      </c>
      <c r="D20" s="177"/>
      <c r="E20" s="178"/>
      <c r="F20" s="178"/>
      <c r="G20" s="178"/>
      <c r="H20" s="178"/>
    </row>
    <row r="21" spans="1:8" ht="12.75">
      <c r="A21" s="2" t="s">
        <v>76</v>
      </c>
      <c r="B21" s="2">
        <v>0</v>
      </c>
      <c r="C21" s="28">
        <f>SUM(C19:C20)</f>
        <v>131820</v>
      </c>
      <c r="D21" s="177"/>
      <c r="E21" s="178"/>
      <c r="F21" s="178"/>
      <c r="G21" s="178"/>
      <c r="H21" s="178"/>
    </row>
    <row r="22" spans="1:8" ht="12.75">
      <c r="A22" s="2"/>
      <c r="B22" s="2"/>
      <c r="C22" s="6"/>
      <c r="D22" s="32"/>
      <c r="E22" s="33" t="s">
        <v>19</v>
      </c>
      <c r="F22" s="33"/>
      <c r="G22" s="33"/>
      <c r="H22" s="34"/>
    </row>
    <row r="23" spans="1:8" ht="12.75">
      <c r="A23" s="2" t="s">
        <v>77</v>
      </c>
      <c r="B23" s="2">
        <f>B4</f>
        <v>0</v>
      </c>
      <c r="C23" s="6">
        <f>C19*B4</f>
        <v>0</v>
      </c>
      <c r="D23" s="32"/>
      <c r="E23" s="33"/>
      <c r="F23" s="33"/>
      <c r="G23" s="33"/>
      <c r="H23" s="34"/>
    </row>
    <row r="24" spans="1:8" ht="12.75">
      <c r="A24" s="2" t="s">
        <v>78</v>
      </c>
      <c r="B24" s="2"/>
      <c r="C24" s="6"/>
      <c r="D24" s="32"/>
      <c r="E24" s="33"/>
      <c r="F24" s="33"/>
      <c r="G24" s="33"/>
      <c r="H24" s="34"/>
    </row>
    <row r="25" spans="1:8" ht="12.75">
      <c r="A25" s="2" t="s">
        <v>79</v>
      </c>
      <c r="B25" s="2"/>
      <c r="C25" s="28">
        <f>(C21-C23)</f>
        <v>131820</v>
      </c>
      <c r="D25" s="35"/>
      <c r="E25" s="36"/>
      <c r="F25" s="36"/>
      <c r="G25" s="36"/>
      <c r="H25" s="37"/>
    </row>
    <row r="26" spans="1:8" ht="13.5" thickBot="1">
      <c r="A26" s="179" t="s">
        <v>56</v>
      </c>
      <c r="B26" s="179"/>
      <c r="C26" s="179"/>
      <c r="D26" s="179"/>
      <c r="E26" s="179"/>
      <c r="F26" s="179"/>
      <c r="G26" s="179"/>
      <c r="H26" s="179"/>
    </row>
    <row r="27" spans="1:8" ht="13.5" thickBot="1">
      <c r="A27" s="43" t="s">
        <v>67</v>
      </c>
      <c r="B27" s="44"/>
      <c r="C27" s="45"/>
      <c r="D27" s="46">
        <f>B6/12</f>
        <v>0</v>
      </c>
      <c r="E27" s="47" t="s">
        <v>49</v>
      </c>
      <c r="F27" s="47" t="s">
        <v>80</v>
      </c>
      <c r="G27" s="47" t="s">
        <v>81</v>
      </c>
      <c r="H27" s="47" t="s">
        <v>82</v>
      </c>
    </row>
    <row r="28" spans="1:8" ht="12.75">
      <c r="A28" s="18" t="s">
        <v>83</v>
      </c>
      <c r="B28" s="1"/>
      <c r="C28" s="19"/>
      <c r="D28" s="116">
        <v>180</v>
      </c>
      <c r="E28" s="23">
        <f>D28-12</f>
        <v>168</v>
      </c>
      <c r="F28" s="23">
        <v>1</v>
      </c>
      <c r="G28" s="24">
        <f>PV($D$27,E28,$D$31)</f>
        <v>0</v>
      </c>
      <c r="H28" s="25">
        <f>$D$29-G28</f>
        <v>0</v>
      </c>
    </row>
    <row r="29" spans="1:8" ht="12.75">
      <c r="A29" s="18" t="s">
        <v>84</v>
      </c>
      <c r="B29" s="1"/>
      <c r="C29" s="19"/>
      <c r="D29" s="16">
        <v>0</v>
      </c>
      <c r="E29" s="12">
        <f>$D$28-24</f>
        <v>156</v>
      </c>
      <c r="F29" s="12">
        <v>2</v>
      </c>
      <c r="G29" s="13">
        <f>PV($D$27,E29,$D$31)</f>
        <v>0</v>
      </c>
      <c r="H29" s="13">
        <f>G28-G29</f>
        <v>0</v>
      </c>
    </row>
    <row r="30" spans="1:8" ht="12.75">
      <c r="A30" s="18" t="s">
        <v>85</v>
      </c>
      <c r="B30" s="1"/>
      <c r="C30" s="19"/>
      <c r="D30" s="16">
        <v>0</v>
      </c>
      <c r="E30" s="12">
        <f>$D$28-36</f>
        <v>144</v>
      </c>
      <c r="F30" s="12">
        <v>3</v>
      </c>
      <c r="G30" s="13">
        <f>PV($D$27,E30,$D$31)</f>
        <v>0</v>
      </c>
      <c r="H30" s="13">
        <f>G29-G30</f>
        <v>0</v>
      </c>
    </row>
    <row r="31" spans="1:8" ht="12.75">
      <c r="A31" s="18" t="s">
        <v>86</v>
      </c>
      <c r="B31" s="1"/>
      <c r="C31" s="19"/>
      <c r="D31" s="17">
        <f>PMT(D27,D28,D29,D30)</f>
        <v>0</v>
      </c>
      <c r="E31" s="12">
        <f>$D$28-48</f>
        <v>132</v>
      </c>
      <c r="F31" s="12">
        <v>4</v>
      </c>
      <c r="G31" s="13">
        <f>PV($D$27,E31,$D$31)</f>
        <v>0</v>
      </c>
      <c r="H31" s="13">
        <f>G30-G31</f>
        <v>0</v>
      </c>
    </row>
    <row r="32" spans="1:8" ht="12.75">
      <c r="A32" s="18"/>
      <c r="B32" s="1"/>
      <c r="C32" s="19"/>
      <c r="D32" s="15"/>
      <c r="E32" s="12">
        <f>$D$28-60</f>
        <v>120</v>
      </c>
      <c r="F32" s="12">
        <v>5</v>
      </c>
      <c r="G32" s="13">
        <f>PV($D$27,E32,$D$31)</f>
        <v>0</v>
      </c>
      <c r="H32" s="13">
        <f>G31-G32</f>
        <v>0</v>
      </c>
    </row>
    <row r="33" spans="1:8" ht="12.75">
      <c r="A33" s="20"/>
      <c r="B33" s="21"/>
      <c r="C33" s="22"/>
      <c r="D33" s="15"/>
      <c r="E33" s="12"/>
      <c r="F33" s="42" t="s">
        <v>87</v>
      </c>
      <c r="G33" s="13"/>
      <c r="H33" s="27">
        <f>SUM(H28:H32)</f>
        <v>0</v>
      </c>
    </row>
    <row r="34" spans="1:8" ht="13.5" thickBot="1">
      <c r="A34" s="179" t="s">
        <v>88</v>
      </c>
      <c r="B34" s="179"/>
      <c r="C34" s="179"/>
      <c r="D34" s="179"/>
      <c r="E34" s="179"/>
      <c r="F34" s="179"/>
      <c r="G34" s="179"/>
      <c r="H34" s="179"/>
    </row>
    <row r="35" spans="1:8" ht="13.5" thickBot="1">
      <c r="A35" s="50" t="s">
        <v>89</v>
      </c>
      <c r="B35" s="48"/>
      <c r="C35" s="48"/>
      <c r="D35" s="49" t="s">
        <v>90</v>
      </c>
      <c r="E35" s="48"/>
      <c r="F35" s="56"/>
      <c r="G35" s="47" t="s">
        <v>91</v>
      </c>
      <c r="H35" s="47" t="s">
        <v>92</v>
      </c>
    </row>
    <row r="36" spans="1:8" ht="12.75">
      <c r="A36" s="174"/>
      <c r="B36" s="175"/>
      <c r="C36" s="175"/>
      <c r="D36" s="175"/>
      <c r="E36" s="175"/>
      <c r="F36" s="176"/>
      <c r="G36" s="55"/>
      <c r="H36" s="55"/>
    </row>
    <row r="37" spans="1:8" ht="12.75">
      <c r="A37" s="54"/>
      <c r="B37" s="12"/>
      <c r="C37" s="12"/>
      <c r="D37" s="12"/>
      <c r="E37" s="12"/>
      <c r="F37" s="12"/>
      <c r="G37" s="12"/>
      <c r="H37" s="12"/>
    </row>
    <row r="38" spans="1:8" ht="12.75">
      <c r="A38" s="11" t="s">
        <v>22</v>
      </c>
      <c r="B38" s="23"/>
      <c r="C38" s="12"/>
      <c r="D38" s="12"/>
      <c r="E38" s="12"/>
      <c r="F38" s="12"/>
      <c r="G38" s="168">
        <v>1850</v>
      </c>
      <c r="H38" s="160">
        <f>G38*12</f>
        <v>22200</v>
      </c>
    </row>
    <row r="39" spans="1:8" ht="12.75">
      <c r="A39" s="26" t="s">
        <v>64</v>
      </c>
      <c r="B39" s="12"/>
      <c r="C39" s="131">
        <v>0.03</v>
      </c>
      <c r="D39" s="12"/>
      <c r="E39" s="12"/>
      <c r="F39" s="12"/>
      <c r="G39" s="169">
        <f>H39/12</f>
        <v>55.5</v>
      </c>
      <c r="H39" s="161">
        <f>H38*C39</f>
        <v>666</v>
      </c>
    </row>
    <row r="40" spans="1:8" ht="12.75">
      <c r="A40" s="71" t="s">
        <v>13</v>
      </c>
      <c r="B40" s="12"/>
      <c r="C40" s="51"/>
      <c r="D40" s="12"/>
      <c r="E40" s="12"/>
      <c r="F40" s="12"/>
      <c r="G40" s="169">
        <f aca="true" t="shared" si="0" ref="G40:G48">H40/12</f>
        <v>0</v>
      </c>
      <c r="H40" s="162">
        <v>0</v>
      </c>
    </row>
    <row r="41" spans="1:8" ht="12.75">
      <c r="A41" s="12" t="s">
        <v>93</v>
      </c>
      <c r="B41" s="12"/>
      <c r="C41" s="12"/>
      <c r="D41" s="12"/>
      <c r="E41" s="12"/>
      <c r="F41" s="12"/>
      <c r="G41" s="169">
        <f t="shared" si="0"/>
        <v>0</v>
      </c>
      <c r="H41" s="163">
        <v>0</v>
      </c>
    </row>
    <row r="42" spans="1:8" ht="12.75">
      <c r="A42" s="71" t="s">
        <v>14</v>
      </c>
      <c r="B42" s="12"/>
      <c r="C42" s="12"/>
      <c r="D42" s="12"/>
      <c r="E42" s="12"/>
      <c r="F42" s="12"/>
      <c r="G42" s="169">
        <f t="shared" si="0"/>
        <v>0</v>
      </c>
      <c r="H42" s="163">
        <v>0</v>
      </c>
    </row>
    <row r="43" spans="1:8" ht="12.75">
      <c r="A43" s="12" t="s">
        <v>9</v>
      </c>
      <c r="B43" s="12"/>
      <c r="C43" s="12"/>
      <c r="D43" s="12"/>
      <c r="E43" s="12"/>
      <c r="F43" s="12"/>
      <c r="G43" s="169">
        <f t="shared" si="0"/>
        <v>0</v>
      </c>
      <c r="H43" s="163">
        <v>0</v>
      </c>
    </row>
    <row r="44" spans="1:8" ht="12.75">
      <c r="A44" s="12" t="s">
        <v>95</v>
      </c>
      <c r="B44" s="12"/>
      <c r="C44" s="12"/>
      <c r="D44" s="12"/>
      <c r="E44" s="12"/>
      <c r="F44" s="12"/>
      <c r="G44" s="169">
        <f t="shared" si="0"/>
        <v>83.33333333333333</v>
      </c>
      <c r="H44" s="163">
        <v>1000</v>
      </c>
    </row>
    <row r="45" spans="1:8" ht="12.75">
      <c r="A45" s="12" t="s">
        <v>96</v>
      </c>
      <c r="B45" s="12"/>
      <c r="C45" s="12"/>
      <c r="D45" s="12"/>
      <c r="E45" s="129">
        <v>0</v>
      </c>
      <c r="F45" s="12"/>
      <c r="G45" s="169">
        <f t="shared" si="0"/>
        <v>0</v>
      </c>
      <c r="H45" s="164">
        <f>(H38-H39)*E45</f>
        <v>0</v>
      </c>
    </row>
    <row r="46" spans="1:8" ht="12.75">
      <c r="A46" s="12" t="s">
        <v>97</v>
      </c>
      <c r="B46" s="12"/>
      <c r="C46" s="52"/>
      <c r="D46" s="12"/>
      <c r="E46" s="12"/>
      <c r="F46" s="12"/>
      <c r="G46" s="169">
        <f t="shared" si="0"/>
        <v>516.6666666666666</v>
      </c>
      <c r="H46" s="163">
        <v>6200</v>
      </c>
    </row>
    <row r="47" spans="1:8" ht="12.75">
      <c r="A47" s="71" t="s">
        <v>11</v>
      </c>
      <c r="B47" s="12"/>
      <c r="C47" s="12"/>
      <c r="D47" s="12"/>
      <c r="E47" s="12"/>
      <c r="F47" s="12"/>
      <c r="G47" s="169">
        <f t="shared" si="0"/>
        <v>0</v>
      </c>
      <c r="H47" s="163">
        <v>0</v>
      </c>
    </row>
    <row r="48" spans="1:8" ht="12.75">
      <c r="A48" s="71" t="s">
        <v>12</v>
      </c>
      <c r="B48" s="12"/>
      <c r="C48" s="129">
        <v>0.05</v>
      </c>
      <c r="D48" s="173"/>
      <c r="E48" s="12"/>
      <c r="F48" s="12"/>
      <c r="G48" s="169">
        <f t="shared" si="0"/>
        <v>83.33333333333333</v>
      </c>
      <c r="H48" s="163">
        <v>1000</v>
      </c>
    </row>
    <row r="49" spans="1:8" ht="12.75">
      <c r="A49" s="11" t="s">
        <v>99</v>
      </c>
      <c r="B49" s="12"/>
      <c r="C49" s="12"/>
      <c r="D49" s="12"/>
      <c r="E49" s="12"/>
      <c r="F49" s="12"/>
      <c r="G49" s="170">
        <f>SUM(G40:G48)</f>
        <v>683.3333333333334</v>
      </c>
      <c r="H49" s="165">
        <f>SUM(H40:H48)</f>
        <v>8200</v>
      </c>
    </row>
    <row r="50" spans="1:8" ht="12.75">
      <c r="A50" s="11" t="s">
        <v>17</v>
      </c>
      <c r="B50" s="12"/>
      <c r="C50" s="12"/>
      <c r="D50" s="12"/>
      <c r="E50" s="12"/>
      <c r="F50" s="12"/>
      <c r="G50" s="166">
        <f>H50/12</f>
        <v>1794.5</v>
      </c>
      <c r="H50" s="166">
        <f>H38-H39</f>
        <v>21534</v>
      </c>
    </row>
    <row r="51" spans="1:8" ht="12.75">
      <c r="A51" s="11" t="s">
        <v>100</v>
      </c>
      <c r="B51" s="12"/>
      <c r="C51" s="12"/>
      <c r="D51" s="12"/>
      <c r="E51" s="12"/>
      <c r="F51" s="12"/>
      <c r="G51" s="167">
        <f>G50-G49</f>
        <v>1111.1666666666665</v>
      </c>
      <c r="H51" s="167">
        <f>H50-H49</f>
        <v>13334</v>
      </c>
    </row>
    <row r="52" spans="1:8" ht="12.75">
      <c r="A52" s="12" t="s">
        <v>101</v>
      </c>
      <c r="B52" s="12"/>
      <c r="C52" s="12"/>
      <c r="D52" s="12"/>
      <c r="E52" s="12"/>
      <c r="F52" s="12"/>
      <c r="G52" s="165">
        <f>D31</f>
        <v>0</v>
      </c>
      <c r="H52" s="165">
        <v>0</v>
      </c>
    </row>
    <row r="53" spans="1:8" ht="12.75">
      <c r="A53" s="57" t="s">
        <v>102</v>
      </c>
      <c r="B53" s="58"/>
      <c r="C53" s="58"/>
      <c r="D53" s="58"/>
      <c r="E53" s="58"/>
      <c r="F53" s="58"/>
      <c r="G53" s="160">
        <f>G51+G52</f>
        <v>1111.1666666666665</v>
      </c>
      <c r="H53" s="143">
        <f>H51+H52</f>
        <v>13334</v>
      </c>
    </row>
    <row r="54" spans="1:8" ht="12.75">
      <c r="A54" s="12" t="s">
        <v>27</v>
      </c>
      <c r="B54" s="12"/>
      <c r="C54" s="12"/>
      <c r="D54" s="12"/>
      <c r="E54" s="12"/>
      <c r="F54" s="12"/>
      <c r="G54" s="23"/>
      <c r="H54" s="77">
        <f>H49/H50</f>
        <v>0.38079316429831894</v>
      </c>
    </row>
    <row r="55" spans="1:8" ht="12.75">
      <c r="A55" s="12" t="s">
        <v>103</v>
      </c>
      <c r="B55" s="12"/>
      <c r="C55" s="12"/>
      <c r="D55" s="72">
        <v>430000</v>
      </c>
      <c r="E55" s="12" t="s">
        <v>30</v>
      </c>
      <c r="F55" s="72">
        <v>39</v>
      </c>
      <c r="G55" s="53">
        <f>H55/12</f>
        <v>918.8034188034188</v>
      </c>
      <c r="H55" s="74">
        <f>D55/F55</f>
        <v>11025.641025641025</v>
      </c>
    </row>
    <row r="56" spans="1:8" ht="12.75">
      <c r="A56" s="12" t="s">
        <v>134</v>
      </c>
      <c r="B56" s="12"/>
      <c r="C56" s="12"/>
      <c r="D56" s="12"/>
      <c r="E56" s="12"/>
      <c r="F56" s="12"/>
      <c r="G56" s="12"/>
      <c r="H56" s="86">
        <f>(-D31*12)-H28</f>
        <v>0</v>
      </c>
    </row>
    <row r="57" spans="1:8" ht="12.75">
      <c r="A57" s="150" t="s">
        <v>104</v>
      </c>
      <c r="B57" s="12"/>
      <c r="C57" s="12"/>
      <c r="D57" s="12"/>
      <c r="E57" s="12"/>
      <c r="F57" s="12"/>
      <c r="G57" s="12"/>
      <c r="H57" s="148">
        <f>(H51)-H55-((-D31*12)-H28)</f>
        <v>2308.3589743589746</v>
      </c>
    </row>
    <row r="58" spans="1:8" ht="12.75">
      <c r="A58" s="11" t="s">
        <v>48</v>
      </c>
      <c r="B58" s="12"/>
      <c r="C58" s="12"/>
      <c r="D58" s="12"/>
      <c r="E58" s="12"/>
      <c r="F58" s="12"/>
      <c r="G58" s="12"/>
      <c r="H58" s="159">
        <f>(H51/C19)</f>
        <v>0.10256923076923077</v>
      </c>
    </row>
    <row r="59" spans="1:8" ht="12.75">
      <c r="A59" s="12" t="s">
        <v>102</v>
      </c>
      <c r="B59" s="12"/>
      <c r="C59" s="12"/>
      <c r="D59" s="12"/>
      <c r="E59" s="12"/>
      <c r="F59" s="12"/>
      <c r="G59" s="12"/>
      <c r="H59" s="13">
        <f>H53</f>
        <v>13334</v>
      </c>
    </row>
    <row r="60" spans="1:8" ht="12.75">
      <c r="A60" s="12" t="s">
        <v>133</v>
      </c>
      <c r="B60" s="12"/>
      <c r="C60" s="12"/>
      <c r="D60" s="12"/>
      <c r="E60" s="12"/>
      <c r="F60" s="12"/>
      <c r="G60" s="12"/>
      <c r="H60" s="13">
        <f>-H4*H57</f>
        <v>-877.1764102564103</v>
      </c>
    </row>
    <row r="61" spans="1:8" ht="12.75">
      <c r="A61" s="57" t="s">
        <v>106</v>
      </c>
      <c r="B61" s="58"/>
      <c r="C61" s="58"/>
      <c r="D61" s="58"/>
      <c r="E61" s="58"/>
      <c r="F61" s="58"/>
      <c r="G61" s="58"/>
      <c r="H61" s="59">
        <f>H59+H60</f>
        <v>12456.82358974359</v>
      </c>
    </row>
    <row r="62" spans="1:8" ht="12.75">
      <c r="A62" s="87" t="s">
        <v>132</v>
      </c>
      <c r="B62" s="58"/>
      <c r="C62" s="58"/>
      <c r="D62" s="58"/>
      <c r="E62" s="58"/>
      <c r="F62" s="58"/>
      <c r="G62" s="58"/>
      <c r="H62" s="144">
        <f>H61/((H51/C15)-G28)</f>
        <v>0.09582171992110454</v>
      </c>
    </row>
    <row r="63" spans="1:8" ht="13.5" thickBot="1">
      <c r="A63" s="179" t="s">
        <v>107</v>
      </c>
      <c r="B63" s="179"/>
      <c r="C63" s="179"/>
      <c r="D63" s="179"/>
      <c r="E63" s="179"/>
      <c r="F63" s="179"/>
      <c r="G63" s="179"/>
      <c r="H63" s="179"/>
    </row>
    <row r="64" spans="1:8" ht="12.75">
      <c r="A64" s="60" t="s">
        <v>89</v>
      </c>
      <c r="B64" s="61"/>
      <c r="C64" s="61" t="s">
        <v>108</v>
      </c>
      <c r="D64" s="62" t="s">
        <v>109</v>
      </c>
      <c r="E64" s="62" t="s">
        <v>110</v>
      </c>
      <c r="F64" s="62" t="s">
        <v>111</v>
      </c>
      <c r="G64" s="62" t="s">
        <v>112</v>
      </c>
      <c r="H64" s="62" t="s">
        <v>113</v>
      </c>
    </row>
    <row r="65" spans="1:8" ht="12.75">
      <c r="A65" s="12" t="s">
        <v>114</v>
      </c>
      <c r="B65" s="12"/>
      <c r="C65" s="72">
        <v>0.03</v>
      </c>
      <c r="D65" s="53">
        <f>H38</f>
        <v>22200</v>
      </c>
      <c r="E65" s="53">
        <f>($C$65*D65)+D65</f>
        <v>22866</v>
      </c>
      <c r="F65" s="53">
        <f>($C$65*E65)+E65</f>
        <v>23551.98</v>
      </c>
      <c r="G65" s="53">
        <f>($C$65*F65)+F65</f>
        <v>24258.539399999998</v>
      </c>
      <c r="H65" s="53">
        <f>($C$65*G65)+G65</f>
        <v>24986.295582</v>
      </c>
    </row>
    <row r="66" spans="1:8" ht="12.75">
      <c r="A66" s="12" t="s">
        <v>65</v>
      </c>
      <c r="B66" s="12"/>
      <c r="C66" s="72">
        <v>0</v>
      </c>
      <c r="D66" s="53">
        <f>H39</f>
        <v>666</v>
      </c>
      <c r="E66" s="53">
        <f>($C$66*D66)+D66</f>
        <v>666</v>
      </c>
      <c r="F66" s="53">
        <f>($C$66*E66)+E66</f>
        <v>666</v>
      </c>
      <c r="G66" s="53">
        <f>($C$66*F66)+F66</f>
        <v>666</v>
      </c>
      <c r="H66" s="53">
        <f>($C$66*G66)+G66</f>
        <v>666</v>
      </c>
    </row>
    <row r="67" spans="1:8" ht="12.75">
      <c r="A67" s="12" t="s">
        <v>93</v>
      </c>
      <c r="B67" s="12"/>
      <c r="C67" s="72">
        <v>0</v>
      </c>
      <c r="D67" s="53">
        <f aca="true" t="shared" si="1" ref="D67:D73">H41</f>
        <v>0</v>
      </c>
      <c r="E67" s="53">
        <f aca="true" t="shared" si="2" ref="E67:H69">($C$67*D67)+D67</f>
        <v>0</v>
      </c>
      <c r="F67" s="53">
        <f t="shared" si="2"/>
        <v>0</v>
      </c>
      <c r="G67" s="53">
        <f t="shared" si="2"/>
        <v>0</v>
      </c>
      <c r="H67" s="53">
        <f t="shared" si="2"/>
        <v>0</v>
      </c>
    </row>
    <row r="68" spans="1:8" ht="12.75">
      <c r="A68" s="12" t="s">
        <v>115</v>
      </c>
      <c r="B68" s="12"/>
      <c r="C68" s="72">
        <v>0</v>
      </c>
      <c r="D68" s="53">
        <f t="shared" si="1"/>
        <v>0</v>
      </c>
      <c r="E68" s="53">
        <f t="shared" si="2"/>
        <v>0</v>
      </c>
      <c r="F68" s="53">
        <f t="shared" si="2"/>
        <v>0</v>
      </c>
      <c r="G68" s="53">
        <f t="shared" si="2"/>
        <v>0</v>
      </c>
      <c r="H68" s="53">
        <f t="shared" si="2"/>
        <v>0</v>
      </c>
    </row>
    <row r="69" spans="1:8" ht="12.75">
      <c r="A69" s="12" t="s">
        <v>94</v>
      </c>
      <c r="B69" s="12"/>
      <c r="C69" s="72">
        <v>0</v>
      </c>
      <c r="D69" s="53">
        <f t="shared" si="1"/>
        <v>0</v>
      </c>
      <c r="E69" s="53">
        <f t="shared" si="2"/>
        <v>0</v>
      </c>
      <c r="F69" s="53">
        <f t="shared" si="2"/>
        <v>0</v>
      </c>
      <c r="G69" s="53">
        <f t="shared" si="2"/>
        <v>0</v>
      </c>
      <c r="H69" s="53">
        <f t="shared" si="2"/>
        <v>0</v>
      </c>
    </row>
    <row r="70" spans="1:8" ht="12.75">
      <c r="A70" s="12" t="s">
        <v>95</v>
      </c>
      <c r="B70" s="12"/>
      <c r="C70" s="72">
        <v>0.03</v>
      </c>
      <c r="D70" s="53">
        <f t="shared" si="1"/>
        <v>1000</v>
      </c>
      <c r="E70" s="53">
        <f>($C$70*D70)+D70</f>
        <v>1030</v>
      </c>
      <c r="F70" s="53">
        <f>($C$70*E70)+E70</f>
        <v>1060.9</v>
      </c>
      <c r="G70" s="53">
        <f>($C$70*F70)+F70</f>
        <v>1092.727</v>
      </c>
      <c r="H70" s="53">
        <f>($C$70*G70)+G70</f>
        <v>1125.50881</v>
      </c>
    </row>
    <row r="71" spans="1:8" ht="12.75">
      <c r="A71" s="12" t="s">
        <v>116</v>
      </c>
      <c r="B71" s="12"/>
      <c r="C71" s="58">
        <v>0</v>
      </c>
      <c r="D71" s="53">
        <f t="shared" si="1"/>
        <v>0</v>
      </c>
      <c r="E71" s="53">
        <f>(E65-E66)*0.08</f>
        <v>1776</v>
      </c>
      <c r="F71" s="53">
        <f>(F65-F66)*0.08</f>
        <v>1830.8784</v>
      </c>
      <c r="G71" s="53">
        <f>(G65-G66)*0.08</f>
        <v>1887.4031519999999</v>
      </c>
      <c r="H71" s="53">
        <f>(H65-H66)*0.08</f>
        <v>1945.62364656</v>
      </c>
    </row>
    <row r="72" spans="1:8" ht="12.75">
      <c r="A72" s="12" t="s">
        <v>97</v>
      </c>
      <c r="B72" s="12"/>
      <c r="C72" s="72">
        <v>0.01</v>
      </c>
      <c r="D72" s="53">
        <f t="shared" si="1"/>
        <v>6200</v>
      </c>
      <c r="E72" s="53">
        <f>($C$72*D72)+D72</f>
        <v>6262</v>
      </c>
      <c r="F72" s="53">
        <f>($C$72*E72)+E72</f>
        <v>6324.62</v>
      </c>
      <c r="G72" s="53">
        <f>($C$72*F72)+F72</f>
        <v>6387.8661999999995</v>
      </c>
      <c r="H72" s="53">
        <f>($C$72*G72)+G72</f>
        <v>6451.744862</v>
      </c>
    </row>
    <row r="73" spans="1:8" ht="12.75">
      <c r="A73" s="12" t="s">
        <v>98</v>
      </c>
      <c r="B73" s="12"/>
      <c r="C73" s="72">
        <v>0</v>
      </c>
      <c r="D73" s="53">
        <f t="shared" si="1"/>
        <v>0</v>
      </c>
      <c r="E73" s="53">
        <f>($C$67*D73)+D73</f>
        <v>0</v>
      </c>
      <c r="F73" s="53">
        <f>($C$67*E73)+E73</f>
        <v>0</v>
      </c>
      <c r="G73" s="53">
        <f>($C$67*F73)+F73</f>
        <v>0</v>
      </c>
      <c r="H73" s="53">
        <f>($C$67*G73)+G73</f>
        <v>0</v>
      </c>
    </row>
    <row r="74" spans="1:8" ht="12.75">
      <c r="A74" s="12" t="s">
        <v>12</v>
      </c>
      <c r="B74" s="12"/>
      <c r="C74" s="72">
        <v>0.03</v>
      </c>
      <c r="D74" s="136">
        <f>H48</f>
        <v>1000</v>
      </c>
      <c r="E74" s="136">
        <f>D74+(D74*0.03)</f>
        <v>1030</v>
      </c>
      <c r="F74" s="136">
        <f>E74+(E74*0.03)</f>
        <v>1060.9</v>
      </c>
      <c r="G74" s="136">
        <f>F74+(F74*0.03)</f>
        <v>1092.727</v>
      </c>
      <c r="H74" s="136">
        <f>G74+(G74*0.03)</f>
        <v>1125.50881</v>
      </c>
    </row>
    <row r="75" spans="1:8" ht="12.75">
      <c r="A75" s="11" t="s">
        <v>99</v>
      </c>
      <c r="B75" s="12"/>
      <c r="C75" s="12"/>
      <c r="D75" s="53">
        <f>SUM(D66:D74)</f>
        <v>8866</v>
      </c>
      <c r="E75" s="53">
        <f>SUM(E66:E74)</f>
        <v>10764</v>
      </c>
      <c r="F75" s="53">
        <f>SUM(F66:F74)</f>
        <v>10943.2984</v>
      </c>
      <c r="G75" s="53">
        <f>SUM(G66:G74)</f>
        <v>11126.723351999999</v>
      </c>
      <c r="H75" s="53">
        <f>SUM(H66:H74)</f>
        <v>11314.38612856</v>
      </c>
    </row>
    <row r="76" spans="1:8" ht="12.75">
      <c r="A76" s="11" t="s">
        <v>100</v>
      </c>
      <c r="B76" s="12"/>
      <c r="C76" s="12"/>
      <c r="D76" s="53">
        <f>D65-D75</f>
        <v>13334</v>
      </c>
      <c r="E76" s="53">
        <f>E65-E75</f>
        <v>12102</v>
      </c>
      <c r="F76" s="53">
        <f>F65-F75</f>
        <v>12608.6816</v>
      </c>
      <c r="G76" s="53">
        <f>G65-G75</f>
        <v>13131.816047999999</v>
      </c>
      <c r="H76" s="53">
        <f>H65-H75</f>
        <v>13671.90945344</v>
      </c>
    </row>
    <row r="77" spans="1:8" ht="12.75">
      <c r="A77" s="12" t="s">
        <v>28</v>
      </c>
      <c r="B77" s="12"/>
      <c r="C77" s="12"/>
      <c r="D77" s="145" t="e">
        <f>D76/-(D31*12)</f>
        <v>#DIV/0!</v>
      </c>
      <c r="E77" s="53" t="e">
        <f>E76/-($D31*12)</f>
        <v>#DIV/0!</v>
      </c>
      <c r="F77" s="53" t="e">
        <f>F76/-($D31*12)</f>
        <v>#DIV/0!</v>
      </c>
      <c r="G77" s="53" t="e">
        <f>G76/-($D31*12)</f>
        <v>#DIV/0!</v>
      </c>
      <c r="H77" s="53" t="e">
        <f>H76/-($D31*12)</f>
        <v>#DIV/0!</v>
      </c>
    </row>
    <row r="78" spans="1:8" ht="12.75">
      <c r="A78" s="12" t="s">
        <v>29</v>
      </c>
      <c r="B78" s="12"/>
      <c r="C78" s="12"/>
      <c r="D78" s="146">
        <f>((-$D31*12)+D75)/$H50</f>
        <v>0.41172099934986534</v>
      </c>
      <c r="E78" s="14">
        <f>((-$D31*12)+E75)/$H50</f>
        <v>0.49986068542769574</v>
      </c>
      <c r="F78" s="14">
        <f>((-$D31*12)+F75)/$H50</f>
        <v>0.5081869787313086</v>
      </c>
      <c r="G78" s="14">
        <f>((-$D31*12)+G75)/$H50</f>
        <v>0.5167049016439119</v>
      </c>
      <c r="H78" s="14">
        <f>((-$D31*12)+H75)/$H50</f>
        <v>0.5254196214618743</v>
      </c>
    </row>
    <row r="79" spans="1:8" ht="12.75">
      <c r="A79" s="12" t="s">
        <v>101</v>
      </c>
      <c r="B79" s="12"/>
      <c r="C79" s="12"/>
      <c r="D79" s="13">
        <f>$H$52</f>
        <v>0</v>
      </c>
      <c r="E79" s="13">
        <f>$H$52</f>
        <v>0</v>
      </c>
      <c r="F79" s="13">
        <f>$H$52</f>
        <v>0</v>
      </c>
      <c r="G79" s="13">
        <f>$H$52</f>
        <v>0</v>
      </c>
      <c r="H79" s="13">
        <f>$H$52</f>
        <v>0</v>
      </c>
    </row>
    <row r="80" spans="1:8" ht="12.75">
      <c r="A80" s="11" t="s">
        <v>117</v>
      </c>
      <c r="B80" s="12"/>
      <c r="C80" s="12"/>
      <c r="D80" s="13">
        <f>D76+D79</f>
        <v>13334</v>
      </c>
      <c r="E80" s="13">
        <f>E76+E79</f>
        <v>12102</v>
      </c>
      <c r="F80" s="13">
        <f>F76+F79</f>
        <v>12608.6816</v>
      </c>
      <c r="G80" s="13">
        <f>G76+G79</f>
        <v>13131.816047999999</v>
      </c>
      <c r="H80" s="13">
        <f>H76+H79</f>
        <v>13671.90945344</v>
      </c>
    </row>
    <row r="81" spans="1:8" ht="12.75">
      <c r="A81" s="12"/>
      <c r="B81" s="12"/>
      <c r="C81" s="12"/>
      <c r="D81" s="12"/>
      <c r="E81" s="12"/>
      <c r="F81" s="12"/>
      <c r="G81" s="12"/>
      <c r="H81" s="12"/>
    </row>
    <row r="82" spans="1:8" ht="12.75">
      <c r="A82" s="12" t="s">
        <v>118</v>
      </c>
      <c r="B82" s="12"/>
      <c r="C82" s="12"/>
      <c r="D82" s="53">
        <f>$H$55</f>
        <v>11025.641025641025</v>
      </c>
      <c r="E82" s="53">
        <f>$H$55</f>
        <v>11025.641025641025</v>
      </c>
      <c r="F82" s="53">
        <f>$H$55</f>
        <v>11025.641025641025</v>
      </c>
      <c r="G82" s="53">
        <f>$H$55</f>
        <v>11025.641025641025</v>
      </c>
      <c r="H82" s="53">
        <f>$H$55</f>
        <v>11025.641025641025</v>
      </c>
    </row>
    <row r="83" spans="1:8" ht="12.75">
      <c r="A83" s="12" t="s">
        <v>119</v>
      </c>
      <c r="B83" s="12"/>
      <c r="C83" s="12"/>
      <c r="D83" s="14">
        <f>H28</f>
        <v>0</v>
      </c>
      <c r="E83" s="13">
        <f>H29</f>
        <v>0</v>
      </c>
      <c r="F83" s="13">
        <f>H30</f>
        <v>0</v>
      </c>
      <c r="G83" s="13">
        <f>H31</f>
        <v>0</v>
      </c>
      <c r="H83" s="13">
        <f>H32</f>
        <v>0</v>
      </c>
    </row>
    <row r="84" spans="1:8" ht="12.75">
      <c r="A84" s="11" t="s">
        <v>120</v>
      </c>
      <c r="B84" s="12"/>
      <c r="C84" s="12"/>
      <c r="D84" s="13">
        <f>D80-D82+D83</f>
        <v>2308.3589743589746</v>
      </c>
      <c r="E84" s="13">
        <f>E80-E82+E83</f>
        <v>1076.3589743589746</v>
      </c>
      <c r="F84" s="13">
        <f>F80-F82+F83</f>
        <v>1583.0405743589745</v>
      </c>
      <c r="G84" s="13">
        <f>G80-G82+G83</f>
        <v>2106.1750223589734</v>
      </c>
      <c r="H84" s="13">
        <f>H80-H82+H83</f>
        <v>2646.268427798974</v>
      </c>
    </row>
    <row r="85" spans="1:8" ht="12.75">
      <c r="A85" s="12"/>
      <c r="B85" s="12"/>
      <c r="C85" s="12"/>
      <c r="D85" s="12"/>
      <c r="E85" s="12"/>
      <c r="F85" s="12"/>
      <c r="G85" s="12"/>
      <c r="H85" s="12"/>
    </row>
    <row r="86" spans="1:8" ht="12.75">
      <c r="A86" s="12" t="s">
        <v>102</v>
      </c>
      <c r="B86" s="12"/>
      <c r="C86" s="12"/>
      <c r="D86" s="13">
        <f>D80</f>
        <v>13334</v>
      </c>
      <c r="E86" s="13">
        <f>E80</f>
        <v>12102</v>
      </c>
      <c r="F86" s="13">
        <f>F80</f>
        <v>12608.6816</v>
      </c>
      <c r="G86" s="13">
        <f>G80</f>
        <v>13131.816047999999</v>
      </c>
      <c r="H86" s="13">
        <f>H80</f>
        <v>13671.90945344</v>
      </c>
    </row>
    <row r="87" spans="1:8" ht="12.75">
      <c r="A87" s="12" t="s">
        <v>105</v>
      </c>
      <c r="B87" s="12"/>
      <c r="C87" s="12"/>
      <c r="D87" s="13">
        <f>-$H$4*D84</f>
        <v>-877.1764102564103</v>
      </c>
      <c r="E87" s="13">
        <f>-$H$4*E84</f>
        <v>-409.0164102564103</v>
      </c>
      <c r="F87" s="13">
        <f>-$H$4*F84</f>
        <v>-601.5554182564103</v>
      </c>
      <c r="G87" s="13">
        <f>-$H$4*G84</f>
        <v>-800.3465084964099</v>
      </c>
      <c r="H87" s="13">
        <f>-$H$4*H84</f>
        <v>-1005.5820025636101</v>
      </c>
    </row>
    <row r="88" spans="1:9" ht="12.75">
      <c r="A88" s="11" t="s">
        <v>121</v>
      </c>
      <c r="B88" s="12"/>
      <c r="C88" s="12"/>
      <c r="D88" s="13">
        <f>SUM(D86:D87)</f>
        <v>12456.82358974359</v>
      </c>
      <c r="E88" s="13">
        <f>SUM(E86:E87)</f>
        <v>11692.98358974359</v>
      </c>
      <c r="F88" s="13">
        <f>SUM(F86:F87)</f>
        <v>12007.12618174359</v>
      </c>
      <c r="G88" s="13">
        <f>SUM(G86:G87)</f>
        <v>12331.469539503589</v>
      </c>
      <c r="H88" s="13">
        <f>SUM(H86:H87)</f>
        <v>12666.32745087639</v>
      </c>
      <c r="I88" s="1"/>
    </row>
    <row r="89" spans="1:13" ht="12.75">
      <c r="A89" s="189" t="s">
        <v>122</v>
      </c>
      <c r="B89" s="189"/>
      <c r="C89" s="189"/>
      <c r="D89" s="189"/>
      <c r="E89" s="189"/>
      <c r="F89" s="189"/>
      <c r="G89" s="189"/>
      <c r="H89" s="189"/>
      <c r="I89" s="1"/>
      <c r="J89" s="192" t="s">
        <v>54</v>
      </c>
      <c r="K89" s="192"/>
      <c r="L89" s="192"/>
      <c r="M89" s="192"/>
    </row>
    <row r="90" spans="1:13" ht="12.75">
      <c r="A90" s="12" t="s">
        <v>74</v>
      </c>
      <c r="B90" s="12"/>
      <c r="C90" s="12"/>
      <c r="D90" s="12"/>
      <c r="E90" s="12"/>
      <c r="F90" s="12"/>
      <c r="G90" s="193">
        <f>C19</f>
        <v>130000</v>
      </c>
      <c r="H90" s="193"/>
      <c r="J90" s="63" t="s">
        <v>50</v>
      </c>
      <c r="K90" s="63" t="s">
        <v>51</v>
      </c>
      <c r="L90" s="63" t="s">
        <v>52</v>
      </c>
      <c r="M90" s="63" t="s">
        <v>53</v>
      </c>
    </row>
    <row r="91" spans="1:13" ht="12.75">
      <c r="A91" s="12" t="s">
        <v>123</v>
      </c>
      <c r="B91" s="12"/>
      <c r="C91" s="12"/>
      <c r="D91" s="12"/>
      <c r="E91" s="12"/>
      <c r="F91" s="12"/>
      <c r="G91" s="193">
        <f>M91</f>
        <v>158015.8125</v>
      </c>
      <c r="H91" s="193"/>
      <c r="J91" s="64">
        <f>(G90*$B$5)+G90</f>
        <v>136500</v>
      </c>
      <c r="K91" s="64">
        <f>(J91*$B$5)+J91</f>
        <v>143325</v>
      </c>
      <c r="L91" s="64">
        <f>(K91*$B$5)+K91</f>
        <v>150491.25</v>
      </c>
      <c r="M91" s="64">
        <f>(L91*$B$5)+L91</f>
        <v>158015.8125</v>
      </c>
    </row>
    <row r="92" spans="1:8" ht="12.75">
      <c r="A92" s="12" t="s">
        <v>124</v>
      </c>
      <c r="B92" s="12"/>
      <c r="C92" s="12"/>
      <c r="D92" s="12"/>
      <c r="E92" s="12"/>
      <c r="F92" s="12"/>
      <c r="G92" s="193">
        <f>G32</f>
        <v>0</v>
      </c>
      <c r="H92" s="193"/>
    </row>
    <row r="93" spans="1:8" ht="12.75">
      <c r="A93" s="12" t="s">
        <v>125</v>
      </c>
      <c r="B93" s="12"/>
      <c r="C93" s="12"/>
      <c r="D93" s="12"/>
      <c r="E93" s="12"/>
      <c r="F93" s="132">
        <v>0.02</v>
      </c>
      <c r="G93" s="193">
        <f>G91*F93</f>
        <v>3160.31625</v>
      </c>
      <c r="H93" s="193"/>
    </row>
    <row r="94" spans="1:8" ht="12.75">
      <c r="A94" s="12" t="s">
        <v>126</v>
      </c>
      <c r="B94" s="12"/>
      <c r="C94" s="12"/>
      <c r="D94" s="12"/>
      <c r="E94" s="12"/>
      <c r="F94" s="130">
        <v>0.02</v>
      </c>
      <c r="G94" s="200">
        <f>G91*F94</f>
        <v>3160.31625</v>
      </c>
      <c r="H94" s="200"/>
    </row>
    <row r="95" spans="1:8" ht="12.75">
      <c r="A95" s="12" t="s">
        <v>127</v>
      </c>
      <c r="B95" s="12"/>
      <c r="C95" s="12"/>
      <c r="D95" s="12"/>
      <c r="E95" s="12"/>
      <c r="F95" s="12"/>
      <c r="G95" s="193">
        <f>G91-G92-G93-G94</f>
        <v>151695.18</v>
      </c>
      <c r="H95" s="193"/>
    </row>
    <row r="96" spans="1:8" ht="12.75">
      <c r="A96" s="12" t="s">
        <v>31</v>
      </c>
      <c r="B96" s="12"/>
      <c r="C96" s="12"/>
      <c r="D96" s="12"/>
      <c r="E96" s="12"/>
      <c r="F96" s="12"/>
      <c r="G96" s="193">
        <f>E98+G93-G99</f>
        <v>79852.11112179488</v>
      </c>
      <c r="H96" s="193"/>
    </row>
    <row r="97" spans="1:8" ht="12.75">
      <c r="A97" s="12"/>
      <c r="B97" s="12"/>
      <c r="C97" s="12"/>
      <c r="D97" s="12"/>
      <c r="E97" s="12"/>
      <c r="F97" s="12"/>
      <c r="G97" s="201"/>
      <c r="H97" s="202"/>
    </row>
    <row r="98" spans="1:8" ht="12.75">
      <c r="A98" s="12" t="s">
        <v>128</v>
      </c>
      <c r="B98" s="12"/>
      <c r="C98" s="12"/>
      <c r="D98" s="14">
        <f>G91-G93</f>
        <v>154855.49625</v>
      </c>
      <c r="E98" s="12">
        <f>C21</f>
        <v>131820</v>
      </c>
      <c r="F98" s="12"/>
      <c r="G98" s="193">
        <f>D98-E98</f>
        <v>23035.496249999997</v>
      </c>
      <c r="H98" s="193"/>
    </row>
    <row r="99" spans="1:8" ht="12.75">
      <c r="A99" s="12" t="s">
        <v>129</v>
      </c>
      <c r="B99" s="12"/>
      <c r="C99" s="12"/>
      <c r="D99" s="12"/>
      <c r="E99" s="12"/>
      <c r="F99" s="12"/>
      <c r="G99" s="193">
        <f>5*H55</f>
        <v>55128.205128205125</v>
      </c>
      <c r="H99" s="193"/>
    </row>
    <row r="100" spans="1:8" ht="12.75">
      <c r="A100" s="12" t="s">
        <v>130</v>
      </c>
      <c r="B100" s="12"/>
      <c r="C100" s="12"/>
      <c r="D100" s="12"/>
      <c r="E100" s="12"/>
      <c r="F100" s="12"/>
      <c r="G100" s="193">
        <f>SUM(G98:G99)</f>
        <v>78163.70137820512</v>
      </c>
      <c r="H100" s="193"/>
    </row>
    <row r="101" spans="1:8" ht="12.75">
      <c r="A101" s="12" t="s">
        <v>131</v>
      </c>
      <c r="B101" s="12"/>
      <c r="C101" s="12"/>
      <c r="D101" s="12"/>
      <c r="E101" s="12"/>
      <c r="F101" s="51">
        <f>H5</f>
        <v>0.38</v>
      </c>
      <c r="G101" s="193">
        <f>G100*F101</f>
        <v>29702.206523717945</v>
      </c>
      <c r="H101" s="193"/>
    </row>
    <row r="102" spans="1:8" ht="13.5" thickBot="1">
      <c r="A102" s="191" t="s">
        <v>0</v>
      </c>
      <c r="B102" s="189"/>
      <c r="C102" s="189"/>
      <c r="D102" s="189"/>
      <c r="E102" s="189"/>
      <c r="F102" s="189"/>
      <c r="G102" s="189"/>
      <c r="H102" s="190"/>
    </row>
    <row r="103" spans="1:8" ht="12.75">
      <c r="A103" s="194" t="s">
        <v>55</v>
      </c>
      <c r="B103" s="195"/>
      <c r="C103" s="196"/>
      <c r="D103" s="66" t="s">
        <v>109</v>
      </c>
      <c r="E103" s="67" t="s">
        <v>110</v>
      </c>
      <c r="F103" s="67" t="s">
        <v>111</v>
      </c>
      <c r="G103" s="67" t="s">
        <v>112</v>
      </c>
      <c r="H103" s="67" t="s">
        <v>113</v>
      </c>
    </row>
    <row r="104" spans="1:8" ht="13.5" thickBot="1">
      <c r="A104" s="197"/>
      <c r="B104" s="198"/>
      <c r="C104" s="199"/>
      <c r="D104" s="68" t="s">
        <v>1</v>
      </c>
      <c r="E104" s="69" t="s">
        <v>2</v>
      </c>
      <c r="F104" s="69" t="s">
        <v>3</v>
      </c>
      <c r="G104" s="69" t="s">
        <v>4</v>
      </c>
      <c r="H104" s="69" t="s">
        <v>5</v>
      </c>
    </row>
    <row r="105" spans="1:8" ht="12.75">
      <c r="A105" s="23" t="s">
        <v>79</v>
      </c>
      <c r="B105" s="23"/>
      <c r="C105" s="23">
        <f>-C25</f>
        <v>-131820</v>
      </c>
      <c r="D105" s="23"/>
      <c r="E105" s="23"/>
      <c r="F105" s="23"/>
      <c r="G105" s="23"/>
      <c r="H105" s="23"/>
    </row>
    <row r="106" spans="1:8" ht="12.75">
      <c r="A106" s="12" t="s">
        <v>102</v>
      </c>
      <c r="B106" s="12"/>
      <c r="C106" s="12"/>
      <c r="D106" s="13">
        <f>D86</f>
        <v>13334</v>
      </c>
      <c r="E106" s="13">
        <f>E86</f>
        <v>12102</v>
      </c>
      <c r="F106" s="13">
        <f>F86</f>
        <v>12608.6816</v>
      </c>
      <c r="G106" s="13">
        <f>G86</f>
        <v>13131.816047999999</v>
      </c>
      <c r="H106" s="13">
        <f>H86</f>
        <v>13671.90945344</v>
      </c>
    </row>
    <row r="107" spans="1:8" ht="12.75">
      <c r="A107" s="12" t="s">
        <v>127</v>
      </c>
      <c r="B107" s="12"/>
      <c r="C107" s="12"/>
      <c r="D107" s="12"/>
      <c r="E107" s="12"/>
      <c r="F107" s="12"/>
      <c r="G107" s="12"/>
      <c r="H107" s="65">
        <f>G95</f>
        <v>151695.18</v>
      </c>
    </row>
    <row r="108" spans="1:8" ht="12.75">
      <c r="A108" s="12" t="s">
        <v>6</v>
      </c>
      <c r="B108" s="12"/>
      <c r="C108" s="12">
        <f>C105</f>
        <v>-131820</v>
      </c>
      <c r="D108" s="13">
        <f>SUM(D106:D107)</f>
        <v>13334</v>
      </c>
      <c r="E108" s="13">
        <f>SUM(E106:E107)</f>
        <v>12102</v>
      </c>
      <c r="F108" s="13">
        <f>SUM(F106:F107)</f>
        <v>12608.6816</v>
      </c>
      <c r="G108" s="13">
        <f>SUM(G106:G107)</f>
        <v>13131.816047999999</v>
      </c>
      <c r="H108" s="13">
        <f>SUM(H106:H107)</f>
        <v>165367.08945343998</v>
      </c>
    </row>
    <row r="109" spans="1:8" ht="12.75">
      <c r="A109" s="12" t="s">
        <v>7</v>
      </c>
      <c r="B109" s="12"/>
      <c r="C109" s="12"/>
      <c r="D109" s="12"/>
      <c r="E109" s="12"/>
      <c r="F109" s="12"/>
      <c r="G109" s="12"/>
      <c r="H109" s="51">
        <f>IRR(C108:H108)</f>
        <v>0.1217795158874142</v>
      </c>
    </row>
    <row r="110" spans="1:8" ht="12.75">
      <c r="A110" s="12"/>
      <c r="B110" s="12"/>
      <c r="C110" s="12"/>
      <c r="D110" s="12"/>
      <c r="E110" s="12"/>
      <c r="F110" s="12"/>
      <c r="G110" s="12"/>
      <c r="H110" s="51"/>
    </row>
    <row r="111" spans="1:8" ht="12.75">
      <c r="A111" s="12" t="s">
        <v>8</v>
      </c>
      <c r="B111" s="12"/>
      <c r="C111" s="12"/>
      <c r="D111" s="13">
        <f>D87</f>
        <v>-877.1764102564103</v>
      </c>
      <c r="E111" s="13">
        <f>E87</f>
        <v>-409.0164102564103</v>
      </c>
      <c r="F111" s="13">
        <f>F87</f>
        <v>-601.5554182564103</v>
      </c>
      <c r="G111" s="13">
        <f>G87</f>
        <v>-800.3465084964099</v>
      </c>
      <c r="H111" s="13">
        <f>H87</f>
        <v>-1005.5820025636101</v>
      </c>
    </row>
    <row r="112" spans="1:8" ht="12.75">
      <c r="A112" s="12" t="s">
        <v>42</v>
      </c>
      <c r="B112" s="12"/>
      <c r="C112" s="12"/>
      <c r="D112" s="12"/>
      <c r="E112" s="12"/>
      <c r="F112" s="12"/>
      <c r="G112" s="12"/>
      <c r="H112" s="14">
        <f>-G101</f>
        <v>-29702.206523717945</v>
      </c>
    </row>
    <row r="113" spans="1:8" ht="12.75">
      <c r="A113" s="12" t="s">
        <v>43</v>
      </c>
      <c r="B113" s="12"/>
      <c r="C113" s="12">
        <f>C108</f>
        <v>-131820</v>
      </c>
      <c r="D113" s="13">
        <f>SUM(D108:D112)</f>
        <v>12456.82358974359</v>
      </c>
      <c r="E113" s="13">
        <f>SUM(E108:E112)</f>
        <v>11692.98358974359</v>
      </c>
      <c r="F113" s="13">
        <f>SUM(F108:F112)</f>
        <v>12007.12618174359</v>
      </c>
      <c r="G113" s="13">
        <f>SUM(G108:G112)</f>
        <v>12331.469539503589</v>
      </c>
      <c r="H113" s="13">
        <f>H108+H111+H112</f>
        <v>134659.30092715845</v>
      </c>
    </row>
    <row r="114" spans="1:8" ht="12.75">
      <c r="A114" s="12" t="s">
        <v>57</v>
      </c>
      <c r="B114" s="12"/>
      <c r="C114" s="12"/>
      <c r="D114" s="12"/>
      <c r="E114" s="12"/>
      <c r="F114" s="12"/>
      <c r="G114" s="12"/>
      <c r="H114" s="51">
        <f>IRR(C113:H113)</f>
        <v>0.07996387353735712</v>
      </c>
    </row>
    <row r="115" spans="1:8" ht="12.75">
      <c r="A115" s="191" t="s">
        <v>25</v>
      </c>
      <c r="B115" s="189"/>
      <c r="C115" s="189"/>
      <c r="D115" s="189"/>
      <c r="E115" s="189"/>
      <c r="F115" s="189"/>
      <c r="G115" s="189"/>
      <c r="H115" s="190"/>
    </row>
  </sheetData>
  <sheetProtection/>
  <mergeCells count="27">
    <mergeCell ref="A115:H115"/>
    <mergeCell ref="A103:C104"/>
    <mergeCell ref="G93:H93"/>
    <mergeCell ref="G94:H94"/>
    <mergeCell ref="G95:H95"/>
    <mergeCell ref="G96:H96"/>
    <mergeCell ref="G98:H98"/>
    <mergeCell ref="G99:H99"/>
    <mergeCell ref="G97:H97"/>
    <mergeCell ref="A63:H63"/>
    <mergeCell ref="A89:H89"/>
    <mergeCell ref="A102:H102"/>
    <mergeCell ref="J89:M89"/>
    <mergeCell ref="G90:H90"/>
    <mergeCell ref="G91:H91"/>
    <mergeCell ref="G92:H92"/>
    <mergeCell ref="G100:H100"/>
    <mergeCell ref="G101:H101"/>
    <mergeCell ref="A36:F36"/>
    <mergeCell ref="D18:H19"/>
    <mergeCell ref="A26:H26"/>
    <mergeCell ref="A17:C17"/>
    <mergeCell ref="B1:H1"/>
    <mergeCell ref="B2:H2"/>
    <mergeCell ref="A3:H3"/>
    <mergeCell ref="A34:H34"/>
    <mergeCell ref="D20:H21"/>
  </mergeCells>
  <printOptions/>
  <pageMargins left="0.75" right="0.75" top="1" bottom="1" header="0.5" footer="0.5"/>
  <pageSetup orientation="landscape" r:id="rId1"/>
  <ignoredErrors>
    <ignoredError sqref="G49" formula="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7"/>
  <sheetViews>
    <sheetView zoomScale="125" zoomScaleNormal="125" zoomScalePageLayoutView="0" workbookViewId="0" topLeftCell="A1">
      <selection activeCell="C4" sqref="C4"/>
    </sheetView>
  </sheetViews>
  <sheetFormatPr defaultColWidth="11.421875" defaultRowHeight="12.75"/>
  <cols>
    <col min="1" max="1" width="22.28125" style="0" customWidth="1"/>
    <col min="2" max="3" width="19.421875" style="0" bestFit="1" customWidth="1"/>
  </cols>
  <sheetData>
    <row r="1" spans="1:3" ht="12.75">
      <c r="A1" s="203" t="s">
        <v>35</v>
      </c>
      <c r="B1" s="203"/>
      <c r="C1" s="203"/>
    </row>
    <row r="2" spans="1:3" ht="12.75">
      <c r="A2" s="203"/>
      <c r="B2" s="203"/>
      <c r="C2" s="203"/>
    </row>
    <row r="3" spans="1:3" ht="15.75">
      <c r="A3" s="118"/>
      <c r="B3" s="119" t="s">
        <v>41</v>
      </c>
      <c r="C3" s="120"/>
    </row>
    <row r="4" spans="1:3" ht="15.75">
      <c r="A4" s="121" t="s">
        <v>16</v>
      </c>
      <c r="B4" s="122"/>
      <c r="C4" s="123">
        <v>0.1</v>
      </c>
    </row>
    <row r="5" spans="1:3" ht="15.75">
      <c r="A5" s="121" t="s">
        <v>33</v>
      </c>
      <c r="B5" s="122"/>
      <c r="C5" s="124">
        <v>5</v>
      </c>
    </row>
    <row r="6" spans="1:3" ht="15.75">
      <c r="A6" s="125" t="s">
        <v>34</v>
      </c>
      <c r="B6" s="126">
        <v>2500000</v>
      </c>
      <c r="C6" s="127">
        <f>-PV(C4,C5,,B6)</f>
        <v>1552303.3076478874</v>
      </c>
    </row>
    <row r="7" spans="1:3" ht="18.75">
      <c r="A7" s="95"/>
      <c r="B7" s="95"/>
      <c r="C7" s="95"/>
    </row>
  </sheetData>
  <sheetProtection/>
  <mergeCells count="1">
    <mergeCell ref="A1:C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21"/>
  <sheetViews>
    <sheetView zoomScalePageLayoutView="0" workbookViewId="0" topLeftCell="A1">
      <selection activeCell="B5" sqref="B5"/>
    </sheetView>
  </sheetViews>
  <sheetFormatPr defaultColWidth="8.8515625" defaultRowHeight="12.75"/>
  <cols>
    <col min="1" max="1" width="23.421875" style="0" bestFit="1" customWidth="1"/>
    <col min="2" max="2" width="20.8515625" style="0" customWidth="1"/>
    <col min="3" max="3" width="16.140625" style="0" customWidth="1"/>
  </cols>
  <sheetData>
    <row r="1" spans="1:3" ht="12.75">
      <c r="A1" s="204" t="s">
        <v>15</v>
      </c>
      <c r="B1" s="204"/>
      <c r="C1" s="204"/>
    </row>
    <row r="2" spans="1:3" ht="12.75">
      <c r="A2" s="204"/>
      <c r="B2" s="204"/>
      <c r="C2" s="204"/>
    </row>
    <row r="3" spans="1:3" ht="19.5">
      <c r="A3" s="89"/>
      <c r="B3" s="89"/>
      <c r="C3" s="90"/>
    </row>
    <row r="4" spans="1:3" ht="19.5">
      <c r="A4" s="91" t="s">
        <v>16</v>
      </c>
      <c r="B4" s="92"/>
      <c r="C4" s="93">
        <v>0.1</v>
      </c>
    </row>
    <row r="5" spans="1:3" ht="18.75">
      <c r="A5" s="94" t="s">
        <v>36</v>
      </c>
      <c r="B5" s="97">
        <f>'Master Sheet'!D80</f>
        <v>13334</v>
      </c>
      <c r="C5" s="96">
        <f>-PV($C$4,1,,B5)</f>
        <v>12121.81818181818</v>
      </c>
    </row>
    <row r="6" spans="1:3" ht="18.75">
      <c r="A6" s="94" t="s">
        <v>37</v>
      </c>
      <c r="B6" s="97">
        <f>'Master Sheet'!E80</f>
        <v>12102</v>
      </c>
      <c r="C6" s="96">
        <f>-PV($C$4,2,,B6)</f>
        <v>10001.652892561982</v>
      </c>
    </row>
    <row r="7" spans="1:3" ht="18.75">
      <c r="A7" s="94" t="s">
        <v>38</v>
      </c>
      <c r="B7" s="97">
        <f>'Master Sheet'!F80</f>
        <v>12608.6816</v>
      </c>
      <c r="C7" s="96">
        <f>-PV($C$4,3,,B7)</f>
        <v>9473.089105935383</v>
      </c>
    </row>
    <row r="8" spans="1:3" ht="18.75">
      <c r="A8" s="94" t="s">
        <v>39</v>
      </c>
      <c r="B8" s="97">
        <f>'Master Sheet'!G80</f>
        <v>13131.816047999999</v>
      </c>
      <c r="C8" s="96">
        <f>-PV($C$4,4,,B8)</f>
        <v>8969.207054162964</v>
      </c>
    </row>
    <row r="9" spans="1:3" ht="18.75">
      <c r="A9" s="94" t="s">
        <v>40</v>
      </c>
      <c r="B9" s="97">
        <f>'Master Sheet'!H80+'Master Sheet'!G95</f>
        <v>165367.08945343998</v>
      </c>
      <c r="C9" s="96">
        <f>-PV($C$4,5,,B9)</f>
        <v>102679.95197387159</v>
      </c>
    </row>
    <row r="10" spans="1:3" ht="18.75">
      <c r="A10" s="94" t="s">
        <v>26</v>
      </c>
      <c r="B10" s="97">
        <v>0</v>
      </c>
      <c r="C10" s="96">
        <f>-PV($C$4,6,,B10)</f>
        <v>0</v>
      </c>
    </row>
    <row r="11" spans="1:5" ht="18.75">
      <c r="A11" s="94" t="s">
        <v>26</v>
      </c>
      <c r="B11" s="97">
        <v>0</v>
      </c>
      <c r="C11" s="96">
        <f>-PV($C$4,7,,B11)</f>
        <v>0</v>
      </c>
      <c r="E11" s="73"/>
    </row>
    <row r="12" spans="1:3" ht="18.75">
      <c r="A12" s="94" t="s">
        <v>26</v>
      </c>
      <c r="B12" s="97">
        <v>0</v>
      </c>
      <c r="C12" s="96">
        <f>-PV($C$4,8,,B12)</f>
        <v>0</v>
      </c>
    </row>
    <row r="13" spans="1:3" ht="18.75">
      <c r="A13" s="94" t="s">
        <v>26</v>
      </c>
      <c r="B13" s="97">
        <v>0</v>
      </c>
      <c r="C13" s="96">
        <f>-PV($C$4,9,,B13)</f>
        <v>0</v>
      </c>
    </row>
    <row r="14" spans="1:3" ht="18.75">
      <c r="A14" s="94" t="s">
        <v>26</v>
      </c>
      <c r="B14" s="97">
        <v>0</v>
      </c>
      <c r="C14" s="98">
        <f>-PV($C$4,10,,B14)</f>
        <v>0</v>
      </c>
    </row>
    <row r="15" spans="1:3" ht="19.5">
      <c r="A15" s="99" t="s">
        <v>32</v>
      </c>
      <c r="B15" s="100"/>
      <c r="C15" s="101">
        <f>SUM(C5:C14)</f>
        <v>143245.7192083501</v>
      </c>
    </row>
    <row r="16" spans="1:3" ht="19.5">
      <c r="A16" s="99" t="s">
        <v>23</v>
      </c>
      <c r="B16" s="117"/>
      <c r="C16" s="101">
        <f>C15-'Master Sheet'!C25</f>
        <v>11425.719208350114</v>
      </c>
    </row>
    <row r="17" spans="1:3" ht="19.5">
      <c r="A17" s="99" t="s">
        <v>24</v>
      </c>
      <c r="B17" s="100"/>
      <c r="C17" s="102">
        <f>C15/'Master Sheet'!C25</f>
        <v>1.0866766743161138</v>
      </c>
    </row>
    <row r="21" ht="12.75">
      <c r="A21" s="88"/>
    </row>
  </sheetData>
  <sheetProtection/>
  <mergeCells count="1">
    <mergeCell ref="A1:C2"/>
  </mergeCells>
  <printOptions/>
  <pageMargins left="0.7" right="0.7" top="0.75" bottom="0.75" header="0.3" footer="0.3"/>
  <pageSetup orientation="portrait"/>
  <ignoredErrors>
    <ignoredError sqref="C9" emptyCellReference="1"/>
    <ignoredError sqref="C16" formula="1"/>
  </ignoredErrors>
</worksheet>
</file>

<file path=xl/worksheets/sheet5.xml><?xml version="1.0" encoding="utf-8"?>
<worksheet xmlns="http://schemas.openxmlformats.org/spreadsheetml/2006/main" xmlns:r="http://schemas.openxmlformats.org/officeDocument/2006/relationships">
  <dimension ref="A1:I31"/>
  <sheetViews>
    <sheetView zoomScale="125" zoomScaleNormal="125" zoomScalePageLayoutView="0" workbookViewId="0" topLeftCell="A1">
      <selection activeCell="G6" sqref="G6"/>
    </sheetView>
  </sheetViews>
  <sheetFormatPr defaultColWidth="11.421875" defaultRowHeight="12.75"/>
  <cols>
    <col min="1" max="2" width="11.421875" style="0" customWidth="1"/>
    <col min="3" max="3" width="9.28125" style="0" customWidth="1"/>
    <col min="4" max="4" width="18.7109375" style="0" customWidth="1"/>
    <col min="5" max="5" width="16.7109375" style="0" customWidth="1"/>
    <col min="6" max="6" width="11.421875" style="0" customWidth="1"/>
    <col min="7" max="7" width="22.140625" style="0" bestFit="1" customWidth="1"/>
    <col min="8" max="8" width="13.421875" style="0" customWidth="1"/>
  </cols>
  <sheetData>
    <row r="1" spans="1:9" ht="16.5" thickBot="1">
      <c r="A1" s="103" t="s">
        <v>67</v>
      </c>
      <c r="B1" s="104"/>
      <c r="C1" s="105"/>
      <c r="D1" s="106">
        <f>'Master Sheet'!D27</f>
        <v>0</v>
      </c>
      <c r="E1" s="107" t="s">
        <v>49</v>
      </c>
      <c r="F1" s="107" t="s">
        <v>80</v>
      </c>
      <c r="G1" s="108" t="s">
        <v>81</v>
      </c>
      <c r="H1" s="109" t="s">
        <v>82</v>
      </c>
      <c r="I1" s="79"/>
    </row>
    <row r="2" spans="1:9" ht="15.75">
      <c r="A2" s="110" t="s">
        <v>83</v>
      </c>
      <c r="B2" s="111"/>
      <c r="C2" s="112"/>
      <c r="D2" s="133">
        <f>'Master Sheet'!D28</f>
        <v>180</v>
      </c>
      <c r="E2" s="81">
        <f>'Master Sheet'!E28</f>
        <v>168</v>
      </c>
      <c r="F2" s="81">
        <v>1</v>
      </c>
      <c r="G2" s="83">
        <f aca="true" t="shared" si="0" ref="G2:G21">PV($D$1,E2,$D$4,,0)</f>
        <v>0</v>
      </c>
      <c r="H2" s="83">
        <f>'Master Sheet'!H28</f>
        <v>0</v>
      </c>
      <c r="I2" s="79"/>
    </row>
    <row r="3" spans="1:9" ht="15.75">
      <c r="A3" s="110" t="s">
        <v>84</v>
      </c>
      <c r="B3" s="111"/>
      <c r="C3" s="112"/>
      <c r="D3" s="135">
        <f>'Master Sheet'!D29</f>
        <v>0</v>
      </c>
      <c r="E3" s="82">
        <f>E2-12</f>
        <v>156</v>
      </c>
      <c r="F3" s="82">
        <v>2</v>
      </c>
      <c r="G3" s="83">
        <f t="shared" si="0"/>
        <v>0</v>
      </c>
      <c r="H3" s="83">
        <f>G2-G3</f>
        <v>0</v>
      </c>
      <c r="I3" s="79"/>
    </row>
    <row r="4" spans="1:9" ht="15.75">
      <c r="A4" s="113" t="s">
        <v>86</v>
      </c>
      <c r="B4" s="114"/>
      <c r="C4" s="115"/>
      <c r="D4" s="134">
        <f>'Master Sheet'!D31</f>
        <v>0</v>
      </c>
      <c r="E4" s="82">
        <f>E3-12</f>
        <v>144</v>
      </c>
      <c r="F4" s="82">
        <v>3</v>
      </c>
      <c r="G4" s="83">
        <f t="shared" si="0"/>
        <v>0</v>
      </c>
      <c r="H4" s="83">
        <f>G3-G4</f>
        <v>0</v>
      </c>
      <c r="I4" s="79"/>
    </row>
    <row r="5" spans="1:9" ht="15">
      <c r="A5" s="79"/>
      <c r="B5" s="79"/>
      <c r="C5" s="79"/>
      <c r="D5" s="84"/>
      <c r="E5" s="82">
        <f>E4-12</f>
        <v>132</v>
      </c>
      <c r="F5" s="82">
        <v>4</v>
      </c>
      <c r="G5" s="83">
        <f t="shared" si="0"/>
        <v>0</v>
      </c>
      <c r="H5" s="83">
        <f>G4-G5</f>
        <v>0</v>
      </c>
      <c r="I5" s="79"/>
    </row>
    <row r="6" spans="1:9" ht="15">
      <c r="A6" s="79"/>
      <c r="B6" s="79"/>
      <c r="C6" s="79"/>
      <c r="D6" s="80"/>
      <c r="E6" s="82">
        <f>E5-12</f>
        <v>120</v>
      </c>
      <c r="F6" s="82">
        <v>5</v>
      </c>
      <c r="G6" s="83">
        <f t="shared" si="0"/>
        <v>0</v>
      </c>
      <c r="H6" s="83">
        <f>G5-G6</f>
        <v>0</v>
      </c>
      <c r="I6" s="79"/>
    </row>
    <row r="7" spans="1:9" ht="15">
      <c r="A7" s="79"/>
      <c r="B7" s="79"/>
      <c r="C7" s="79"/>
      <c r="D7" s="80"/>
      <c r="E7" s="85">
        <f>E6-12</f>
        <v>108</v>
      </c>
      <c r="F7" s="82">
        <v>6</v>
      </c>
      <c r="G7" s="83">
        <f t="shared" si="0"/>
        <v>0</v>
      </c>
      <c r="H7" s="83">
        <f>G6-G7</f>
        <v>0</v>
      </c>
      <c r="I7" s="79"/>
    </row>
    <row r="8" spans="1:9" ht="15">
      <c r="A8" s="79"/>
      <c r="B8" s="79"/>
      <c r="C8" s="79"/>
      <c r="D8" s="80"/>
      <c r="E8" s="85">
        <f aca="true" t="shared" si="1" ref="E8:E31">E7-12</f>
        <v>96</v>
      </c>
      <c r="F8" s="82">
        <v>7</v>
      </c>
      <c r="G8" s="83">
        <f t="shared" si="0"/>
        <v>0</v>
      </c>
      <c r="H8" s="83">
        <f aca="true" t="shared" si="2" ref="H8:H21">G7-G8</f>
        <v>0</v>
      </c>
      <c r="I8" s="79"/>
    </row>
    <row r="9" spans="1:9" ht="15">
      <c r="A9" s="79"/>
      <c r="B9" s="79"/>
      <c r="C9" s="79"/>
      <c r="D9" s="80"/>
      <c r="E9" s="85">
        <f t="shared" si="1"/>
        <v>84</v>
      </c>
      <c r="F9" s="82">
        <v>8</v>
      </c>
      <c r="G9" s="83">
        <f t="shared" si="0"/>
        <v>0</v>
      </c>
      <c r="H9" s="83">
        <f t="shared" si="2"/>
        <v>0</v>
      </c>
      <c r="I9" s="79"/>
    </row>
    <row r="10" spans="1:9" ht="15">
      <c r="A10" s="79"/>
      <c r="B10" s="79"/>
      <c r="C10" s="79"/>
      <c r="D10" s="80"/>
      <c r="E10" s="85">
        <f t="shared" si="1"/>
        <v>72</v>
      </c>
      <c r="F10" s="82">
        <v>9</v>
      </c>
      <c r="G10" s="83">
        <f t="shared" si="0"/>
        <v>0</v>
      </c>
      <c r="H10" s="83">
        <f t="shared" si="2"/>
        <v>0</v>
      </c>
      <c r="I10" s="79"/>
    </row>
    <row r="11" spans="1:9" ht="15">
      <c r="A11" s="79"/>
      <c r="B11" s="79"/>
      <c r="C11" s="79"/>
      <c r="D11" s="80"/>
      <c r="E11" s="85">
        <f t="shared" si="1"/>
        <v>60</v>
      </c>
      <c r="F11" s="82">
        <v>10</v>
      </c>
      <c r="G11" s="83">
        <f t="shared" si="0"/>
        <v>0</v>
      </c>
      <c r="H11" s="83">
        <f t="shared" si="2"/>
        <v>0</v>
      </c>
      <c r="I11" s="79"/>
    </row>
    <row r="12" spans="1:9" ht="15">
      <c r="A12" s="79"/>
      <c r="B12" s="79"/>
      <c r="C12" s="79"/>
      <c r="D12" s="79"/>
      <c r="E12" s="82">
        <f t="shared" si="1"/>
        <v>48</v>
      </c>
      <c r="F12" s="82">
        <v>11</v>
      </c>
      <c r="G12" s="83">
        <f t="shared" si="0"/>
        <v>0</v>
      </c>
      <c r="H12" s="83">
        <f t="shared" si="2"/>
        <v>0</v>
      </c>
      <c r="I12" s="79"/>
    </row>
    <row r="13" spans="1:9" ht="15">
      <c r="A13" s="79"/>
      <c r="B13" s="79"/>
      <c r="C13" s="79"/>
      <c r="D13" s="79"/>
      <c r="E13" s="82">
        <f t="shared" si="1"/>
        <v>36</v>
      </c>
      <c r="F13" s="82">
        <v>12</v>
      </c>
      <c r="G13" s="83">
        <f t="shared" si="0"/>
        <v>0</v>
      </c>
      <c r="H13" s="83">
        <f t="shared" si="2"/>
        <v>0</v>
      </c>
      <c r="I13" s="79"/>
    </row>
    <row r="14" spans="1:9" ht="15">
      <c r="A14" s="79"/>
      <c r="B14" s="79"/>
      <c r="C14" s="79"/>
      <c r="D14" s="79"/>
      <c r="E14" s="82">
        <f t="shared" si="1"/>
        <v>24</v>
      </c>
      <c r="F14" s="82">
        <v>13</v>
      </c>
      <c r="G14" s="83">
        <f t="shared" si="0"/>
        <v>0</v>
      </c>
      <c r="H14" s="83">
        <f t="shared" si="2"/>
        <v>0</v>
      </c>
      <c r="I14" s="79"/>
    </row>
    <row r="15" spans="1:9" ht="15">
      <c r="A15" s="79"/>
      <c r="B15" s="79"/>
      <c r="C15" s="79"/>
      <c r="D15" s="79"/>
      <c r="E15" s="82">
        <f t="shared" si="1"/>
        <v>12</v>
      </c>
      <c r="F15" s="82">
        <v>14</v>
      </c>
      <c r="G15" s="83">
        <f t="shared" si="0"/>
        <v>0</v>
      </c>
      <c r="H15" s="83">
        <f t="shared" si="2"/>
        <v>0</v>
      </c>
      <c r="I15" s="79"/>
    </row>
    <row r="16" spans="1:9" ht="15">
      <c r="A16" s="79"/>
      <c r="B16" s="79"/>
      <c r="C16" s="79"/>
      <c r="D16" s="79"/>
      <c r="E16" s="82">
        <f t="shared" si="1"/>
        <v>0</v>
      </c>
      <c r="F16" s="82">
        <v>15</v>
      </c>
      <c r="G16" s="83">
        <f t="shared" si="0"/>
        <v>0</v>
      </c>
      <c r="H16" s="83">
        <f t="shared" si="2"/>
        <v>0</v>
      </c>
      <c r="I16" s="79"/>
    </row>
    <row r="17" spans="1:9" ht="15">
      <c r="A17" s="79"/>
      <c r="B17" s="79"/>
      <c r="C17" s="79"/>
      <c r="D17" s="79"/>
      <c r="E17" s="82">
        <f t="shared" si="1"/>
        <v>-12</v>
      </c>
      <c r="F17" s="82">
        <v>16</v>
      </c>
      <c r="G17" s="83">
        <f t="shared" si="0"/>
        <v>0</v>
      </c>
      <c r="H17" s="83">
        <f t="shared" si="2"/>
        <v>0</v>
      </c>
      <c r="I17" s="79"/>
    </row>
    <row r="18" spans="1:9" ht="15">
      <c r="A18" s="79"/>
      <c r="B18" s="79"/>
      <c r="C18" s="79"/>
      <c r="D18" s="79"/>
      <c r="E18" s="82">
        <f t="shared" si="1"/>
        <v>-24</v>
      </c>
      <c r="F18" s="82">
        <v>17</v>
      </c>
      <c r="G18" s="83">
        <f t="shared" si="0"/>
        <v>0</v>
      </c>
      <c r="H18" s="83">
        <f t="shared" si="2"/>
        <v>0</v>
      </c>
      <c r="I18" s="79"/>
    </row>
    <row r="19" spans="1:9" ht="15">
      <c r="A19" s="79"/>
      <c r="B19" s="79"/>
      <c r="C19" s="79"/>
      <c r="D19" s="79"/>
      <c r="E19" s="82">
        <f t="shared" si="1"/>
        <v>-36</v>
      </c>
      <c r="F19" s="82">
        <v>18</v>
      </c>
      <c r="G19" s="83">
        <f t="shared" si="0"/>
        <v>0</v>
      </c>
      <c r="H19" s="83">
        <f t="shared" si="2"/>
        <v>0</v>
      </c>
      <c r="I19" s="79"/>
    </row>
    <row r="20" spans="1:9" ht="15">
      <c r="A20" s="79"/>
      <c r="B20" s="79"/>
      <c r="C20" s="79"/>
      <c r="D20" s="79"/>
      <c r="E20" s="82">
        <f t="shared" si="1"/>
        <v>-48</v>
      </c>
      <c r="F20" s="82">
        <v>19</v>
      </c>
      <c r="G20" s="83">
        <f t="shared" si="0"/>
        <v>0</v>
      </c>
      <c r="H20" s="83">
        <f t="shared" si="2"/>
        <v>0</v>
      </c>
      <c r="I20" s="79"/>
    </row>
    <row r="21" spans="1:9" ht="15">
      <c r="A21" s="79"/>
      <c r="B21" s="79"/>
      <c r="C21" s="79"/>
      <c r="D21" s="79"/>
      <c r="E21" s="82">
        <f t="shared" si="1"/>
        <v>-60</v>
      </c>
      <c r="F21" s="82">
        <v>20</v>
      </c>
      <c r="G21" s="83">
        <f t="shared" si="0"/>
        <v>0</v>
      </c>
      <c r="H21" s="83">
        <f t="shared" si="2"/>
        <v>0</v>
      </c>
      <c r="I21" s="79"/>
    </row>
    <row r="22" spans="1:9" ht="15">
      <c r="A22" s="79"/>
      <c r="B22" s="79"/>
      <c r="C22" s="79"/>
      <c r="D22" s="79"/>
      <c r="E22" s="82">
        <f t="shared" si="1"/>
        <v>-72</v>
      </c>
      <c r="F22" s="82">
        <v>21</v>
      </c>
      <c r="G22" s="83">
        <f aca="true" t="shared" si="3" ref="G22:G31">PV($D$1,E22,$D$4,,0)</f>
        <v>0</v>
      </c>
      <c r="H22" s="83">
        <f aca="true" t="shared" si="4" ref="H22:H31">G21-G22</f>
        <v>0</v>
      </c>
      <c r="I22" s="79"/>
    </row>
    <row r="23" spans="1:9" ht="15">
      <c r="A23" s="79"/>
      <c r="B23" s="79"/>
      <c r="C23" s="79"/>
      <c r="D23" s="79"/>
      <c r="E23" s="82">
        <f t="shared" si="1"/>
        <v>-84</v>
      </c>
      <c r="F23" s="82">
        <v>22</v>
      </c>
      <c r="G23" s="83">
        <f t="shared" si="3"/>
        <v>0</v>
      </c>
      <c r="H23" s="83">
        <f t="shared" si="4"/>
        <v>0</v>
      </c>
      <c r="I23" s="79"/>
    </row>
    <row r="24" spans="1:9" ht="15">
      <c r="A24" s="79"/>
      <c r="B24" s="79"/>
      <c r="C24" s="79"/>
      <c r="D24" s="79"/>
      <c r="E24" s="82">
        <f t="shared" si="1"/>
        <v>-96</v>
      </c>
      <c r="F24" s="82">
        <v>23</v>
      </c>
      <c r="G24" s="83">
        <f t="shared" si="3"/>
        <v>0</v>
      </c>
      <c r="H24" s="83">
        <f t="shared" si="4"/>
        <v>0</v>
      </c>
      <c r="I24" s="79"/>
    </row>
    <row r="25" spans="5:9" ht="15">
      <c r="E25" s="82">
        <f t="shared" si="1"/>
        <v>-108</v>
      </c>
      <c r="F25" s="82">
        <v>24</v>
      </c>
      <c r="G25" s="83">
        <f t="shared" si="3"/>
        <v>0</v>
      </c>
      <c r="H25" s="83">
        <f t="shared" si="4"/>
        <v>0</v>
      </c>
      <c r="I25" s="79"/>
    </row>
    <row r="26" spans="5:8" ht="15">
      <c r="E26" s="82">
        <f t="shared" si="1"/>
        <v>-120</v>
      </c>
      <c r="F26" s="82">
        <v>25</v>
      </c>
      <c r="G26" s="83">
        <f t="shared" si="3"/>
        <v>0</v>
      </c>
      <c r="H26" s="83">
        <f t="shared" si="4"/>
        <v>0</v>
      </c>
    </row>
    <row r="27" spans="5:8" ht="15">
      <c r="E27" s="82">
        <f t="shared" si="1"/>
        <v>-132</v>
      </c>
      <c r="F27" s="82">
        <v>26</v>
      </c>
      <c r="G27" s="83">
        <f t="shared" si="3"/>
        <v>0</v>
      </c>
      <c r="H27" s="83">
        <f t="shared" si="4"/>
        <v>0</v>
      </c>
    </row>
    <row r="28" spans="5:8" ht="15">
      <c r="E28" s="82">
        <f t="shared" si="1"/>
        <v>-144</v>
      </c>
      <c r="F28" s="82">
        <v>27</v>
      </c>
      <c r="G28" s="83">
        <f t="shared" si="3"/>
        <v>0</v>
      </c>
      <c r="H28" s="83">
        <f t="shared" si="4"/>
        <v>0</v>
      </c>
    </row>
    <row r="29" spans="5:8" ht="15">
      <c r="E29" s="82">
        <f t="shared" si="1"/>
        <v>-156</v>
      </c>
      <c r="F29" s="82">
        <v>28</v>
      </c>
      <c r="G29" s="83">
        <f t="shared" si="3"/>
        <v>0</v>
      </c>
      <c r="H29" s="83">
        <f t="shared" si="4"/>
        <v>0</v>
      </c>
    </row>
    <row r="30" spans="5:8" ht="15">
      <c r="E30" s="82">
        <f t="shared" si="1"/>
        <v>-168</v>
      </c>
      <c r="F30" s="82">
        <v>29</v>
      </c>
      <c r="G30" s="83">
        <f t="shared" si="3"/>
        <v>0</v>
      </c>
      <c r="H30" s="83">
        <f t="shared" si="4"/>
        <v>0</v>
      </c>
    </row>
    <row r="31" spans="5:8" ht="15">
      <c r="E31" s="82">
        <f t="shared" si="1"/>
        <v>-180</v>
      </c>
      <c r="F31" s="82">
        <v>30</v>
      </c>
      <c r="G31" s="83">
        <f t="shared" si="3"/>
        <v>0</v>
      </c>
      <c r="H31" s="83">
        <f t="shared" si="4"/>
        <v>0</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151" t="s">
        <v>135</v>
      </c>
      <c r="C1" s="151"/>
      <c r="D1" s="155"/>
      <c r="E1" s="155"/>
      <c r="F1" s="155"/>
    </row>
    <row r="2" spans="2:6" ht="12.75">
      <c r="B2" s="151" t="s">
        <v>136</v>
      </c>
      <c r="C2" s="151"/>
      <c r="D2" s="155"/>
      <c r="E2" s="155"/>
      <c r="F2" s="155"/>
    </row>
    <row r="3" spans="2:6" ht="12.75">
      <c r="B3" s="152"/>
      <c r="C3" s="152"/>
      <c r="D3" s="156"/>
      <c r="E3" s="156"/>
      <c r="F3" s="156"/>
    </row>
    <row r="4" spans="2:6" ht="51">
      <c r="B4" s="152" t="s">
        <v>137</v>
      </c>
      <c r="C4" s="152"/>
      <c r="D4" s="156"/>
      <c r="E4" s="156"/>
      <c r="F4" s="156"/>
    </row>
    <row r="5" spans="2:6" ht="12.75">
      <c r="B5" s="152"/>
      <c r="C5" s="152"/>
      <c r="D5" s="156"/>
      <c r="E5" s="156"/>
      <c r="F5" s="156"/>
    </row>
    <row r="6" spans="2:6" ht="12.75">
      <c r="B6" s="151" t="s">
        <v>138</v>
      </c>
      <c r="C6" s="151"/>
      <c r="D6" s="155"/>
      <c r="E6" s="155" t="s">
        <v>139</v>
      </c>
      <c r="F6" s="155" t="s">
        <v>140</v>
      </c>
    </row>
    <row r="7" spans="2:6" ht="13.5" thickBot="1">
      <c r="B7" s="152"/>
      <c r="C7" s="152"/>
      <c r="D7" s="156"/>
      <c r="E7" s="156"/>
      <c r="F7" s="156"/>
    </row>
    <row r="8" spans="2:6" ht="51.75" thickBot="1">
      <c r="B8" s="153" t="s">
        <v>141</v>
      </c>
      <c r="C8" s="154"/>
      <c r="D8" s="157"/>
      <c r="E8" s="157" t="s">
        <v>143</v>
      </c>
      <c r="F8" s="158" t="s">
        <v>142</v>
      </c>
    </row>
    <row r="9" spans="2:6" ht="12.75">
      <c r="B9" s="152"/>
      <c r="C9" s="152"/>
      <c r="D9" s="156"/>
      <c r="E9" s="156"/>
      <c r="F9" s="156"/>
    </row>
    <row r="10" spans="2:6" ht="12.75">
      <c r="B10" s="152"/>
      <c r="C10" s="152"/>
      <c r="D10" s="156"/>
      <c r="E10" s="156"/>
      <c r="F10" s="15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NY/UCD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E</dc:creator>
  <cp:keywords/>
  <dc:description/>
  <cp:lastModifiedBy>Adam</cp:lastModifiedBy>
  <cp:lastPrinted>2004-01-22T17:56:32Z</cp:lastPrinted>
  <dcterms:created xsi:type="dcterms:W3CDTF">2002-04-15T06:45:46Z</dcterms:created>
  <dcterms:modified xsi:type="dcterms:W3CDTF">2016-12-30T11:09:07Z</dcterms:modified>
  <cp:category/>
  <cp:version/>
  <cp:contentType/>
  <cp:contentStatus/>
</cp:coreProperties>
</file>